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拟聘用人员表" sheetId="2" r:id="rId1"/>
  </sheets>
  <definedNames>
    <definedName name="_xlnm.Print_Titles" localSheetId="0">拟聘用人员表!$1:$2</definedName>
    <definedName name="_xlnm._FilterDatabase" localSheetId="0" hidden="1">拟聘用人员表!$A$2:$F$2</definedName>
  </definedNames>
  <calcPr calcId="144525"/>
</workbook>
</file>

<file path=xl/sharedStrings.xml><?xml version="1.0" encoding="utf-8"?>
<sst xmlns="http://schemas.openxmlformats.org/spreadsheetml/2006/main" count="305" uniqueCount="16">
  <si>
    <t>2023年宛城区公开招聘教师-拟聘用人员表</t>
  </si>
  <si>
    <t>序号</t>
  </si>
  <si>
    <t>岗位代码</t>
  </si>
  <si>
    <t>招聘单位</t>
  </si>
  <si>
    <t>姓名</t>
  </si>
  <si>
    <t>毕业院校</t>
  </si>
  <si>
    <t>备注</t>
  </si>
  <si>
    <t>完全学校高中</t>
  </si>
  <si>
    <t>河南科技学院新科学院</t>
  </si>
  <si>
    <t>完全学校及城区初中</t>
  </si>
  <si>
    <t>农村中学</t>
  </si>
  <si>
    <t>南阳第四中等职业学校</t>
  </si>
  <si>
    <t>农村小学</t>
  </si>
  <si>
    <t>黄河交通学院</t>
  </si>
  <si>
    <t>农村偏远乡镇小学</t>
  </si>
  <si>
    <t>完全学校及城区幼儿园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</si>
</sst>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8"/>
  <sheetViews>
    <sheetView tabSelected="1" workbookViewId="0">
      <selection activeCell="G3" sqref="G3"/>
    </sheetView>
  </sheetViews>
  <sheetFormatPr defaultColWidth="9" defaultRowHeight="14.25" outlineLevelCol="5"/>
  <cols>
    <col min="1" max="1" width="11.125" style="3" customWidth="1"/>
    <col min="2" max="2" width="11.375" style="4" customWidth="1"/>
    <col min="3" max="3" width="27.375" style="4" customWidth="1"/>
    <col min="4" max="4" width="14.375" style="5" customWidth="1"/>
    <col min="5" max="5" width="29.625" style="6" customWidth="1"/>
    <col min="6" max="6" width="10.25" style="7" customWidth="1"/>
    <col min="7" max="16384" width="9" style="8"/>
  </cols>
  <sheetData>
    <row r="1" ht="35" customHeight="1" spans="1:6">
      <c r="A1" s="9" t="s">
        <v>0</v>
      </c>
      <c r="B1" s="10"/>
      <c r="C1" s="9"/>
      <c r="D1" s="11"/>
      <c r="E1" s="12"/>
      <c r="F1" s="9"/>
    </row>
    <row r="2" s="1" customFormat="1" ht="27" customHeight="1" spans="1:6">
      <c r="A2" s="13" t="s">
        <v>1</v>
      </c>
      <c r="B2" s="14" t="s">
        <v>2</v>
      </c>
      <c r="C2" s="15" t="s">
        <v>3</v>
      </c>
      <c r="D2" s="13" t="s">
        <v>4</v>
      </c>
      <c r="E2" s="15" t="s">
        <v>5</v>
      </c>
      <c r="F2" s="15" t="s">
        <v>6</v>
      </c>
    </row>
    <row r="3" s="1" customFormat="1" ht="27" customHeight="1" spans="1:6">
      <c r="A3" s="16">
        <v>1</v>
      </c>
      <c r="B3" s="17" t="str">
        <f t="shared" ref="B3:B11" si="0">"1001"</f>
        <v>1001</v>
      </c>
      <c r="C3" s="18" t="s">
        <v>7</v>
      </c>
      <c r="D3" s="16" t="str">
        <f>"刘秋平"</f>
        <v>刘秋平</v>
      </c>
      <c r="E3" s="19" t="str">
        <f>"信阳学院"</f>
        <v>信阳学院</v>
      </c>
      <c r="F3" s="18"/>
    </row>
    <row r="4" s="1" customFormat="1" ht="27" customHeight="1" spans="1:6">
      <c r="A4" s="16">
        <v>2</v>
      </c>
      <c r="B4" s="17" t="str">
        <f t="shared" si="0"/>
        <v>1001</v>
      </c>
      <c r="C4" s="18" t="s">
        <v>7</v>
      </c>
      <c r="D4" s="16" t="str">
        <f>"钟姝"</f>
        <v>钟姝</v>
      </c>
      <c r="E4" s="19" t="str">
        <f>"安阳师范学院"</f>
        <v>安阳师范学院</v>
      </c>
      <c r="F4" s="18" t="str">
        <f t="shared" ref="F4:F8" si="1">""</f>
        <v/>
      </c>
    </row>
    <row r="5" s="1" customFormat="1" ht="27" customHeight="1" spans="1:6">
      <c r="A5" s="16">
        <v>3</v>
      </c>
      <c r="B5" s="17" t="str">
        <f t="shared" si="0"/>
        <v>1001</v>
      </c>
      <c r="C5" s="18" t="s">
        <v>7</v>
      </c>
      <c r="D5" s="16" t="str">
        <f>"范利君"</f>
        <v>范利君</v>
      </c>
      <c r="E5" s="19" t="s">
        <v>8</v>
      </c>
      <c r="F5" s="18" t="str">
        <f t="shared" si="1"/>
        <v/>
      </c>
    </row>
    <row r="6" s="1" customFormat="1" ht="27" customHeight="1" spans="1:6">
      <c r="A6" s="16">
        <v>4</v>
      </c>
      <c r="B6" s="17" t="str">
        <f t="shared" si="0"/>
        <v>1001</v>
      </c>
      <c r="C6" s="18" t="s">
        <v>7</v>
      </c>
      <c r="D6" s="16" t="str">
        <f>"魏本雪"</f>
        <v>魏本雪</v>
      </c>
      <c r="E6" s="19" t="str">
        <f>"南阳师范学院"</f>
        <v>南阳师范学院</v>
      </c>
      <c r="F6" s="18" t="str">
        <f t="shared" si="1"/>
        <v/>
      </c>
    </row>
    <row r="7" s="1" customFormat="1" ht="27" customHeight="1" spans="1:6">
      <c r="A7" s="16">
        <v>5</v>
      </c>
      <c r="B7" s="17" t="str">
        <f t="shared" si="0"/>
        <v>1001</v>
      </c>
      <c r="C7" s="18" t="s">
        <v>7</v>
      </c>
      <c r="D7" s="16" t="str">
        <f>"封仁慧"</f>
        <v>封仁慧</v>
      </c>
      <c r="E7" s="19" t="str">
        <f>"信阳师范大学"</f>
        <v>信阳师范大学</v>
      </c>
      <c r="F7" s="18" t="str">
        <f t="shared" si="1"/>
        <v/>
      </c>
    </row>
    <row r="8" s="1" customFormat="1" ht="27" customHeight="1" spans="1:6">
      <c r="A8" s="16">
        <v>6</v>
      </c>
      <c r="B8" s="17" t="str">
        <f t="shared" si="0"/>
        <v>1001</v>
      </c>
      <c r="C8" s="18" t="s">
        <v>7</v>
      </c>
      <c r="D8" s="16" t="str">
        <f>"张萌萌"</f>
        <v>张萌萌</v>
      </c>
      <c r="E8" s="19" t="str">
        <f>"湖北理工学院"</f>
        <v>湖北理工学院</v>
      </c>
      <c r="F8" s="18" t="str">
        <f t="shared" si="1"/>
        <v/>
      </c>
    </row>
    <row r="9" s="1" customFormat="1" ht="27" customHeight="1" spans="1:6">
      <c r="A9" s="16">
        <v>7</v>
      </c>
      <c r="B9" s="17" t="str">
        <f t="shared" si="0"/>
        <v>1001</v>
      </c>
      <c r="C9" s="18" t="s">
        <v>7</v>
      </c>
      <c r="D9" s="16" t="str">
        <f>"吴倩文"</f>
        <v>吴倩文</v>
      </c>
      <c r="E9" s="19" t="str">
        <f>"西南交通大学"</f>
        <v>西南交通大学</v>
      </c>
      <c r="F9" s="18"/>
    </row>
    <row r="10" s="2" customFormat="1" ht="27" customHeight="1" spans="1:6">
      <c r="A10" s="16">
        <v>8</v>
      </c>
      <c r="B10" s="17" t="str">
        <f t="shared" si="0"/>
        <v>1001</v>
      </c>
      <c r="C10" s="17" t="s">
        <v>7</v>
      </c>
      <c r="D10" s="16" t="str">
        <f>"孙雪"</f>
        <v>孙雪</v>
      </c>
      <c r="E10" s="20" t="str">
        <f>"南阳师范学院"</f>
        <v>南阳师范学院</v>
      </c>
      <c r="F10" s="17"/>
    </row>
    <row r="11" s="1" customFormat="1" ht="27" customHeight="1" spans="1:6">
      <c r="A11" s="16">
        <v>9</v>
      </c>
      <c r="B11" s="17" t="str">
        <f t="shared" ref="B11:B18" si="2">"1002"</f>
        <v>1002</v>
      </c>
      <c r="C11" s="18" t="s">
        <v>7</v>
      </c>
      <c r="D11" s="16" t="str">
        <f>"郭萌"</f>
        <v>郭萌</v>
      </c>
      <c r="E11" s="19" t="str">
        <f>"南阳师范学院"</f>
        <v>南阳师范学院</v>
      </c>
      <c r="F11" s="18"/>
    </row>
    <row r="12" s="1" customFormat="1" ht="27" customHeight="1" spans="1:6">
      <c r="A12" s="16">
        <v>10</v>
      </c>
      <c r="B12" s="17" t="str">
        <f t="shared" si="2"/>
        <v>1002</v>
      </c>
      <c r="C12" s="18" t="s">
        <v>7</v>
      </c>
      <c r="D12" s="16" t="str">
        <f>"徐瑶"</f>
        <v>徐瑶</v>
      </c>
      <c r="E12" s="19" t="str">
        <f>"南阳师范学院"</f>
        <v>南阳师范学院</v>
      </c>
      <c r="F12" s="18"/>
    </row>
    <row r="13" s="1" customFormat="1" ht="27" customHeight="1" spans="1:6">
      <c r="A13" s="16">
        <v>11</v>
      </c>
      <c r="B13" s="17" t="str">
        <f t="shared" si="2"/>
        <v>1002</v>
      </c>
      <c r="C13" s="18" t="s">
        <v>7</v>
      </c>
      <c r="D13" s="16" t="str">
        <f>"王元铎"</f>
        <v>王元铎</v>
      </c>
      <c r="E13" s="19" t="str">
        <f>"河南师范大学"</f>
        <v>河南师范大学</v>
      </c>
      <c r="F13" s="18"/>
    </row>
    <row r="14" s="1" customFormat="1" ht="27" customHeight="1" spans="1:6">
      <c r="A14" s="16">
        <v>12</v>
      </c>
      <c r="B14" s="17" t="str">
        <f t="shared" si="2"/>
        <v>1002</v>
      </c>
      <c r="C14" s="18" t="s">
        <v>7</v>
      </c>
      <c r="D14" s="16" t="str">
        <f>"李婉玉"</f>
        <v>李婉玉</v>
      </c>
      <c r="E14" s="19" t="str">
        <f>"中央民族大学"</f>
        <v>中央民族大学</v>
      </c>
      <c r="F14" s="18"/>
    </row>
    <row r="15" s="1" customFormat="1" ht="27" customHeight="1" spans="1:6">
      <c r="A15" s="16">
        <v>13</v>
      </c>
      <c r="B15" s="17" t="str">
        <f t="shared" si="2"/>
        <v>1002</v>
      </c>
      <c r="C15" s="18" t="s">
        <v>7</v>
      </c>
      <c r="D15" s="16" t="str">
        <f>"吴金重"</f>
        <v>吴金重</v>
      </c>
      <c r="E15" s="19" t="str">
        <f>"河南大学"</f>
        <v>河南大学</v>
      </c>
      <c r="F15" s="18"/>
    </row>
    <row r="16" s="1" customFormat="1" ht="27" customHeight="1" spans="1:6">
      <c r="A16" s="16">
        <v>14</v>
      </c>
      <c r="B16" s="17" t="str">
        <f t="shared" si="2"/>
        <v>1002</v>
      </c>
      <c r="C16" s="18" t="s">
        <v>7</v>
      </c>
      <c r="D16" s="16" t="str">
        <f>"皇甫丽荣"</f>
        <v>皇甫丽荣</v>
      </c>
      <c r="E16" s="19" t="str">
        <f>"安庆师范大学"</f>
        <v>安庆师范大学</v>
      </c>
      <c r="F16" s="18"/>
    </row>
    <row r="17" s="1" customFormat="1" ht="27" customHeight="1" spans="1:6">
      <c r="A17" s="16">
        <v>15</v>
      </c>
      <c r="B17" s="17" t="str">
        <f t="shared" si="2"/>
        <v>1002</v>
      </c>
      <c r="C17" s="18" t="s">
        <v>7</v>
      </c>
      <c r="D17" s="16" t="str">
        <f>"赵建钢"</f>
        <v>赵建钢</v>
      </c>
      <c r="E17" s="19" t="str">
        <f>"河南师范大学"</f>
        <v>河南师范大学</v>
      </c>
      <c r="F17" s="18"/>
    </row>
    <row r="18" s="2" customFormat="1" ht="27" customHeight="1" spans="1:6">
      <c r="A18" s="16">
        <v>16</v>
      </c>
      <c r="B18" s="17" t="str">
        <f t="shared" si="2"/>
        <v>1002</v>
      </c>
      <c r="C18" s="18" t="s">
        <v>7</v>
      </c>
      <c r="D18" s="17" t="str">
        <f>"高盼盼"</f>
        <v>高盼盼</v>
      </c>
      <c r="E18" s="20" t="str">
        <f>"周口师范学院"</f>
        <v>周口师范学院</v>
      </c>
      <c r="F18" s="17"/>
    </row>
    <row r="19" s="1" customFormat="1" ht="27" customHeight="1" spans="1:6">
      <c r="A19" s="16">
        <v>17</v>
      </c>
      <c r="B19" s="17" t="str">
        <f t="shared" ref="B19:B24" si="3">"1003"</f>
        <v>1003</v>
      </c>
      <c r="C19" s="18" t="s">
        <v>7</v>
      </c>
      <c r="D19" s="16" t="str">
        <f>"刘玲君"</f>
        <v>刘玲君</v>
      </c>
      <c r="E19" s="19" t="str">
        <f>"河南师范大学"</f>
        <v>河南师范大学</v>
      </c>
      <c r="F19" s="18"/>
    </row>
    <row r="20" s="1" customFormat="1" ht="27" customHeight="1" spans="1:6">
      <c r="A20" s="16">
        <v>18</v>
      </c>
      <c r="B20" s="17" t="str">
        <f t="shared" si="3"/>
        <v>1003</v>
      </c>
      <c r="C20" s="18" t="s">
        <v>7</v>
      </c>
      <c r="D20" s="16" t="str">
        <f>"邢亚欣"</f>
        <v>邢亚欣</v>
      </c>
      <c r="E20" s="19" t="str">
        <f>"河南大学民生学院"</f>
        <v>河南大学民生学院</v>
      </c>
      <c r="F20" s="18"/>
    </row>
    <row r="21" s="1" customFormat="1" ht="27" customHeight="1" spans="1:6">
      <c r="A21" s="16">
        <v>19</v>
      </c>
      <c r="B21" s="17" t="str">
        <f t="shared" si="3"/>
        <v>1003</v>
      </c>
      <c r="C21" s="18" t="s">
        <v>7</v>
      </c>
      <c r="D21" s="16" t="str">
        <f>"丁洛羽"</f>
        <v>丁洛羽</v>
      </c>
      <c r="E21" s="19" t="str">
        <f>"洛阳师范学院"</f>
        <v>洛阳师范学院</v>
      </c>
      <c r="F21" s="18"/>
    </row>
    <row r="22" s="1" customFormat="1" ht="27" customHeight="1" spans="1:6">
      <c r="A22" s="16">
        <v>20</v>
      </c>
      <c r="B22" s="17" t="str">
        <f t="shared" si="3"/>
        <v>1003</v>
      </c>
      <c r="C22" s="18" t="s">
        <v>7</v>
      </c>
      <c r="D22" s="16" t="str">
        <f>"周蕾"</f>
        <v>周蕾</v>
      </c>
      <c r="E22" s="19" t="str">
        <f>"江苏师范大学"</f>
        <v>江苏师范大学</v>
      </c>
      <c r="F22" s="18"/>
    </row>
    <row r="23" s="1" customFormat="1" ht="27" customHeight="1" spans="1:6">
      <c r="A23" s="16">
        <v>21</v>
      </c>
      <c r="B23" s="17" t="str">
        <f t="shared" si="3"/>
        <v>1003</v>
      </c>
      <c r="C23" s="18" t="s">
        <v>7</v>
      </c>
      <c r="D23" s="16" t="str">
        <f>"毕曼玉"</f>
        <v>毕曼玉</v>
      </c>
      <c r="E23" s="19" t="str">
        <f>"合肥工业大学"</f>
        <v>合肥工业大学</v>
      </c>
      <c r="F23" s="18"/>
    </row>
    <row r="24" s="2" customFormat="1" ht="27" customHeight="1" spans="1:6">
      <c r="A24" s="16">
        <v>22</v>
      </c>
      <c r="B24" s="16" t="str">
        <f t="shared" si="3"/>
        <v>1003</v>
      </c>
      <c r="C24" s="17" t="s">
        <v>7</v>
      </c>
      <c r="D24" s="16" t="str">
        <f>"张雪"</f>
        <v>张雪</v>
      </c>
      <c r="E24" s="20" t="str">
        <f>"南阳师范学院"</f>
        <v>南阳师范学院</v>
      </c>
      <c r="F24" s="17"/>
    </row>
    <row r="25" s="1" customFormat="1" ht="27" customHeight="1" spans="1:6">
      <c r="A25" s="16">
        <v>23</v>
      </c>
      <c r="B25" s="17" t="str">
        <f>"1004"</f>
        <v>1004</v>
      </c>
      <c r="C25" s="18" t="s">
        <v>7</v>
      </c>
      <c r="D25" s="16" t="str">
        <f>"刘洋"</f>
        <v>刘洋</v>
      </c>
      <c r="E25" s="19" t="str">
        <f>"伊犁师范大学"</f>
        <v>伊犁师范大学</v>
      </c>
      <c r="F25" s="18"/>
    </row>
    <row r="26" s="1" customFormat="1" ht="27" customHeight="1" spans="1:6">
      <c r="A26" s="16">
        <v>24</v>
      </c>
      <c r="B26" s="17" t="str">
        <f>"1004"</f>
        <v>1004</v>
      </c>
      <c r="C26" s="18" t="s">
        <v>7</v>
      </c>
      <c r="D26" s="16" t="str">
        <f>"李颖"</f>
        <v>李颖</v>
      </c>
      <c r="E26" s="19" t="str">
        <f>"海南师范大学"</f>
        <v>海南师范大学</v>
      </c>
      <c r="F26" s="18"/>
    </row>
    <row r="27" s="1" customFormat="1" ht="27" customHeight="1" spans="1:6">
      <c r="A27" s="16">
        <v>25</v>
      </c>
      <c r="B27" s="17" t="str">
        <f>"1004"</f>
        <v>1004</v>
      </c>
      <c r="C27" s="18" t="s">
        <v>7</v>
      </c>
      <c r="D27" s="16" t="str">
        <f>"张泽林"</f>
        <v>张泽林</v>
      </c>
      <c r="E27" s="19" t="str">
        <f>"河海大学"</f>
        <v>河海大学</v>
      </c>
      <c r="F27" s="18"/>
    </row>
    <row r="28" s="1" customFormat="1" ht="27" customHeight="1" spans="1:6">
      <c r="A28" s="16">
        <v>26</v>
      </c>
      <c r="B28" s="17" t="str">
        <f>"1004"</f>
        <v>1004</v>
      </c>
      <c r="C28" s="18" t="s">
        <v>7</v>
      </c>
      <c r="D28" s="16" t="str">
        <f>"武淼"</f>
        <v>武淼</v>
      </c>
      <c r="E28" s="19" t="str">
        <f>"商丘师范学院"</f>
        <v>商丘师范学院</v>
      </c>
      <c r="F28" s="18"/>
    </row>
    <row r="29" s="2" customFormat="1" ht="27" customHeight="1" spans="1:6">
      <c r="A29" s="16">
        <v>27</v>
      </c>
      <c r="B29" s="17" t="str">
        <f>"1004"</f>
        <v>1004</v>
      </c>
      <c r="C29" s="17" t="s">
        <v>7</v>
      </c>
      <c r="D29" s="16" t="str">
        <f>"曹艳芳"</f>
        <v>曹艳芳</v>
      </c>
      <c r="E29" s="20" t="str">
        <f>"河南大学"</f>
        <v>河南大学</v>
      </c>
      <c r="F29" s="17"/>
    </row>
    <row r="30" s="1" customFormat="1" ht="27" customHeight="1" spans="1:6">
      <c r="A30" s="16">
        <v>28</v>
      </c>
      <c r="B30" s="17" t="str">
        <f>"1005"</f>
        <v>1005</v>
      </c>
      <c r="C30" s="18" t="s">
        <v>7</v>
      </c>
      <c r="D30" s="16" t="str">
        <f>"丁小静"</f>
        <v>丁小静</v>
      </c>
      <c r="E30" s="19" t="str">
        <f>"东南大学"</f>
        <v>东南大学</v>
      </c>
      <c r="F30" s="18"/>
    </row>
    <row r="31" s="2" customFormat="1" ht="27" customHeight="1" spans="1:6">
      <c r="A31" s="16">
        <v>29</v>
      </c>
      <c r="B31" s="17" t="str">
        <f>"1005"</f>
        <v>1005</v>
      </c>
      <c r="C31" s="17" t="s">
        <v>7</v>
      </c>
      <c r="D31" s="17" t="str">
        <f>"王远飞"</f>
        <v>王远飞</v>
      </c>
      <c r="E31" s="20" t="str">
        <f>"河南师范大学"</f>
        <v>河南师范大学</v>
      </c>
      <c r="F31" s="17"/>
    </row>
    <row r="32" s="2" customFormat="1" ht="27" customHeight="1" spans="1:6">
      <c r="A32" s="16">
        <v>30</v>
      </c>
      <c r="B32" s="16" t="str">
        <f>"1005"</f>
        <v>1005</v>
      </c>
      <c r="C32" s="17" t="s">
        <v>7</v>
      </c>
      <c r="D32" s="16" t="str">
        <f>"杨一曼"</f>
        <v>杨一曼</v>
      </c>
      <c r="E32" s="20" t="str">
        <f>"洛阳师范学院"</f>
        <v>洛阳师范学院</v>
      </c>
      <c r="F32" s="17"/>
    </row>
    <row r="33" s="2" customFormat="1" ht="27" customHeight="1" spans="1:6">
      <c r="A33" s="16">
        <v>31</v>
      </c>
      <c r="B33" s="17" t="str">
        <f>"1005"</f>
        <v>1005</v>
      </c>
      <c r="C33" s="17" t="s">
        <v>7</v>
      </c>
      <c r="D33" s="16" t="str">
        <f>"谢涛"</f>
        <v>谢涛</v>
      </c>
      <c r="E33" s="20" t="str">
        <f>"新疆大学"</f>
        <v>新疆大学</v>
      </c>
      <c r="F33" s="17"/>
    </row>
    <row r="34" s="1" customFormat="1" ht="27" customHeight="1" spans="1:6">
      <c r="A34" s="16">
        <v>32</v>
      </c>
      <c r="B34" s="17" t="str">
        <f t="shared" ref="B34:B37" si="4">"1006"</f>
        <v>1006</v>
      </c>
      <c r="C34" s="18" t="s">
        <v>7</v>
      </c>
      <c r="D34" s="16" t="str">
        <f>"于静波"</f>
        <v>于静波</v>
      </c>
      <c r="E34" s="19" t="str">
        <f>"华中科技大学"</f>
        <v>华中科技大学</v>
      </c>
      <c r="F34" s="18"/>
    </row>
    <row r="35" s="1" customFormat="1" ht="27" customHeight="1" spans="1:6">
      <c r="A35" s="16">
        <v>33</v>
      </c>
      <c r="B35" s="17" t="str">
        <f t="shared" si="4"/>
        <v>1006</v>
      </c>
      <c r="C35" s="18" t="s">
        <v>7</v>
      </c>
      <c r="D35" s="16" t="str">
        <f>"刘碟"</f>
        <v>刘碟</v>
      </c>
      <c r="E35" s="19" t="str">
        <f>"信阳师范大学"</f>
        <v>信阳师范大学</v>
      </c>
      <c r="F35" s="18"/>
    </row>
    <row r="36" s="1" customFormat="1" ht="27" customHeight="1" spans="1:6">
      <c r="A36" s="16">
        <v>34</v>
      </c>
      <c r="B36" s="17" t="str">
        <f t="shared" si="4"/>
        <v>1006</v>
      </c>
      <c r="C36" s="18" t="s">
        <v>7</v>
      </c>
      <c r="D36" s="16" t="str">
        <f>"高昂"</f>
        <v>高昂</v>
      </c>
      <c r="E36" s="19" t="str">
        <f>"河南师范大学新联学院"</f>
        <v>河南师范大学新联学院</v>
      </c>
      <c r="F36" s="18"/>
    </row>
    <row r="37" s="1" customFormat="1" ht="27" customHeight="1" spans="1:6">
      <c r="A37" s="16">
        <v>35</v>
      </c>
      <c r="B37" s="17" t="str">
        <f t="shared" si="4"/>
        <v>1006</v>
      </c>
      <c r="C37" s="18" t="s">
        <v>7</v>
      </c>
      <c r="D37" s="16" t="str">
        <f>"胡婷婷"</f>
        <v>胡婷婷</v>
      </c>
      <c r="E37" s="19" t="str">
        <f>"河南师范大学"</f>
        <v>河南师范大学</v>
      </c>
      <c r="F37" s="18"/>
    </row>
    <row r="38" s="1" customFormat="1" ht="27" customHeight="1" spans="1:6">
      <c r="A38" s="16">
        <v>36</v>
      </c>
      <c r="B38" s="17" t="str">
        <f t="shared" ref="B38:B41" si="5">"1007"</f>
        <v>1007</v>
      </c>
      <c r="C38" s="18" t="s">
        <v>7</v>
      </c>
      <c r="D38" s="16" t="str">
        <f>"祖郭林"</f>
        <v>祖郭林</v>
      </c>
      <c r="E38" s="19" t="str">
        <f>"大理大学"</f>
        <v>大理大学</v>
      </c>
      <c r="F38" s="18"/>
    </row>
    <row r="39" s="1" customFormat="1" ht="27" customHeight="1" spans="1:6">
      <c r="A39" s="16">
        <v>37</v>
      </c>
      <c r="B39" s="17" t="str">
        <f t="shared" si="5"/>
        <v>1007</v>
      </c>
      <c r="C39" s="18" t="s">
        <v>7</v>
      </c>
      <c r="D39" s="16" t="str">
        <f>"王佩佩"</f>
        <v>王佩佩</v>
      </c>
      <c r="E39" s="19" t="str">
        <f>"长春师范大学"</f>
        <v>长春师范大学</v>
      </c>
      <c r="F39" s="18"/>
    </row>
    <row r="40" s="1" customFormat="1" ht="27" customHeight="1" spans="1:6">
      <c r="A40" s="16">
        <v>38</v>
      </c>
      <c r="B40" s="17" t="str">
        <f t="shared" si="5"/>
        <v>1007</v>
      </c>
      <c r="C40" s="18" t="s">
        <v>7</v>
      </c>
      <c r="D40" s="16" t="str">
        <f>"宗豹"</f>
        <v>宗豹</v>
      </c>
      <c r="E40" s="19" t="str">
        <f>"安徽农业大学"</f>
        <v>安徽农业大学</v>
      </c>
      <c r="F40" s="18"/>
    </row>
    <row r="41" s="1" customFormat="1" ht="27" customHeight="1" spans="1:6">
      <c r="A41" s="16">
        <v>39</v>
      </c>
      <c r="B41" s="17" t="str">
        <f t="shared" si="5"/>
        <v>1007</v>
      </c>
      <c r="C41" s="18" t="s">
        <v>7</v>
      </c>
      <c r="D41" s="16" t="str">
        <f>"王嘉琪"</f>
        <v>王嘉琪</v>
      </c>
      <c r="E41" s="19" t="str">
        <f>"商丘师范学院"</f>
        <v>商丘师范学院</v>
      </c>
      <c r="F41" s="18"/>
    </row>
    <row r="42" s="1" customFormat="1" ht="27" customHeight="1" spans="1:6">
      <c r="A42" s="16">
        <v>40</v>
      </c>
      <c r="B42" s="17" t="str">
        <f t="shared" ref="B42:B45" si="6">"1008"</f>
        <v>1008</v>
      </c>
      <c r="C42" s="18" t="s">
        <v>7</v>
      </c>
      <c r="D42" s="16" t="str">
        <f>"孙俊迪"</f>
        <v>孙俊迪</v>
      </c>
      <c r="E42" s="19" t="str">
        <f>"鞍山师范学院"</f>
        <v>鞍山师范学院</v>
      </c>
      <c r="F42" s="18"/>
    </row>
    <row r="43" s="1" customFormat="1" ht="27" customHeight="1" spans="1:6">
      <c r="A43" s="16">
        <v>41</v>
      </c>
      <c r="B43" s="17" t="str">
        <f t="shared" si="6"/>
        <v>1008</v>
      </c>
      <c r="C43" s="18" t="s">
        <v>7</v>
      </c>
      <c r="D43" s="16" t="str">
        <f>"高静雯"</f>
        <v>高静雯</v>
      </c>
      <c r="E43" s="19" t="str">
        <f>"河南大学"</f>
        <v>河南大学</v>
      </c>
      <c r="F43" s="18"/>
    </row>
    <row r="44" s="1" customFormat="1" ht="27" customHeight="1" spans="1:6">
      <c r="A44" s="16">
        <v>42</v>
      </c>
      <c r="B44" s="17" t="str">
        <f t="shared" si="6"/>
        <v>1008</v>
      </c>
      <c r="C44" s="18" t="s">
        <v>7</v>
      </c>
      <c r="D44" s="16" t="str">
        <f>"王利华"</f>
        <v>王利华</v>
      </c>
      <c r="E44" s="19" t="str">
        <f>"周口师范学院"</f>
        <v>周口师范学院</v>
      </c>
      <c r="F44" s="18"/>
    </row>
    <row r="45" s="1" customFormat="1" ht="27" customHeight="1" spans="1:6">
      <c r="A45" s="16">
        <v>43</v>
      </c>
      <c r="B45" s="17" t="str">
        <f t="shared" si="6"/>
        <v>1008</v>
      </c>
      <c r="C45" s="18" t="s">
        <v>7</v>
      </c>
      <c r="D45" s="16" t="str">
        <f>"葛明镜"</f>
        <v>葛明镜</v>
      </c>
      <c r="E45" s="19" t="str">
        <f>"福建师范大学"</f>
        <v>福建师范大学</v>
      </c>
      <c r="F45" s="18"/>
    </row>
    <row r="46" s="1" customFormat="1" ht="27" customHeight="1" spans="1:6">
      <c r="A46" s="16">
        <v>44</v>
      </c>
      <c r="B46" s="17" t="str">
        <f>"1009"</f>
        <v>1009</v>
      </c>
      <c r="C46" s="18" t="s">
        <v>7</v>
      </c>
      <c r="D46" s="16" t="str">
        <f>"王慧慧"</f>
        <v>王慧慧</v>
      </c>
      <c r="E46" s="19" t="str">
        <f>"河南大学"</f>
        <v>河南大学</v>
      </c>
      <c r="F46" s="18"/>
    </row>
    <row r="47" s="1" customFormat="1" ht="27" customHeight="1" spans="1:6">
      <c r="A47" s="16">
        <v>45</v>
      </c>
      <c r="B47" s="17" t="str">
        <f>"1009"</f>
        <v>1009</v>
      </c>
      <c r="C47" s="18" t="s">
        <v>7</v>
      </c>
      <c r="D47" s="16" t="str">
        <f>"王文正"</f>
        <v>王文正</v>
      </c>
      <c r="E47" s="19" t="str">
        <f>"泉州师范学院"</f>
        <v>泉州师范学院</v>
      </c>
      <c r="F47" s="18"/>
    </row>
    <row r="48" s="1" customFormat="1" ht="27" customHeight="1" spans="1:6">
      <c r="A48" s="16">
        <v>46</v>
      </c>
      <c r="B48" s="17" t="str">
        <f>"1009"</f>
        <v>1009</v>
      </c>
      <c r="C48" s="18" t="s">
        <v>7</v>
      </c>
      <c r="D48" s="16" t="str">
        <f>"王鹏"</f>
        <v>王鹏</v>
      </c>
      <c r="E48" s="19" t="str">
        <f>"信阳学院"</f>
        <v>信阳学院</v>
      </c>
      <c r="F48" s="18"/>
    </row>
    <row r="49" s="2" customFormat="1" ht="27" customHeight="1" spans="1:6">
      <c r="A49" s="16">
        <v>47</v>
      </c>
      <c r="B49" s="16" t="str">
        <f>"1009"</f>
        <v>1009</v>
      </c>
      <c r="C49" s="17" t="s">
        <v>7</v>
      </c>
      <c r="D49" s="16" t="str">
        <f>"孙红雨"</f>
        <v>孙红雨</v>
      </c>
      <c r="E49" s="20" t="str">
        <f>"商丘师范学院"</f>
        <v>商丘师范学院</v>
      </c>
      <c r="F49" s="17"/>
    </row>
    <row r="50" s="1" customFormat="1" ht="27" customHeight="1" spans="1:6">
      <c r="A50" s="16">
        <v>48</v>
      </c>
      <c r="B50" s="17" t="str">
        <f t="shared" ref="B50:B52" si="7">"1010"</f>
        <v>1010</v>
      </c>
      <c r="C50" s="18" t="s">
        <v>7</v>
      </c>
      <c r="D50" s="16" t="str">
        <f>"李辉"</f>
        <v>李辉</v>
      </c>
      <c r="E50" s="19" t="str">
        <f>"云南师范大学"</f>
        <v>云南师范大学</v>
      </c>
      <c r="F50" s="18"/>
    </row>
    <row r="51" s="1" customFormat="1" ht="27" customHeight="1" spans="1:6">
      <c r="A51" s="16">
        <v>49</v>
      </c>
      <c r="B51" s="17" t="str">
        <f t="shared" si="7"/>
        <v>1010</v>
      </c>
      <c r="C51" s="18" t="s">
        <v>7</v>
      </c>
      <c r="D51" s="16" t="str">
        <f>"杨帅方"</f>
        <v>杨帅方</v>
      </c>
      <c r="E51" s="19" t="str">
        <f>"郑州大学"</f>
        <v>郑州大学</v>
      </c>
      <c r="F51" s="18"/>
    </row>
    <row r="52" s="1" customFormat="1" ht="27" customHeight="1" spans="1:6">
      <c r="A52" s="16">
        <v>50</v>
      </c>
      <c r="B52" s="17" t="str">
        <f t="shared" si="7"/>
        <v>1010</v>
      </c>
      <c r="C52" s="18" t="s">
        <v>7</v>
      </c>
      <c r="D52" s="16" t="str">
        <f>"王思齐"</f>
        <v>王思齐</v>
      </c>
      <c r="E52" s="19" t="str">
        <f>"河南大学"</f>
        <v>河南大学</v>
      </c>
      <c r="F52" s="18"/>
    </row>
    <row r="53" s="1" customFormat="1" ht="27" customHeight="1" spans="1:6">
      <c r="A53" s="16">
        <v>51</v>
      </c>
      <c r="B53" s="17" t="str">
        <f>"1011"</f>
        <v>1011</v>
      </c>
      <c r="C53" s="18" t="s">
        <v>7</v>
      </c>
      <c r="D53" s="16" t="str">
        <f>"薛媛"</f>
        <v>薛媛</v>
      </c>
      <c r="E53" s="19" t="str">
        <f>"信阳师范学院"</f>
        <v>信阳师范学院</v>
      </c>
      <c r="F53" s="18"/>
    </row>
    <row r="54" s="1" customFormat="1" ht="27" customHeight="1" spans="1:6">
      <c r="A54" s="16">
        <v>52</v>
      </c>
      <c r="B54" s="17" t="str">
        <f>"1011"</f>
        <v>1011</v>
      </c>
      <c r="C54" s="18" t="s">
        <v>7</v>
      </c>
      <c r="D54" s="16" t="str">
        <f>"吴双"</f>
        <v>吴双</v>
      </c>
      <c r="E54" s="19" t="str">
        <f>"南阳师范学院"</f>
        <v>南阳师范学院</v>
      </c>
      <c r="F54" s="18"/>
    </row>
    <row r="55" s="1" customFormat="1" ht="27" customHeight="1" spans="1:6">
      <c r="A55" s="16">
        <v>53</v>
      </c>
      <c r="B55" s="17" t="str">
        <f>"1012"</f>
        <v>1012</v>
      </c>
      <c r="C55" s="18" t="s">
        <v>7</v>
      </c>
      <c r="D55" s="16" t="str">
        <f>"张晓菊"</f>
        <v>张晓菊</v>
      </c>
      <c r="E55" s="19" t="str">
        <f>"郑州师范学院"</f>
        <v>郑州师范学院</v>
      </c>
      <c r="F55" s="18"/>
    </row>
    <row r="56" s="1" customFormat="1" ht="27" customHeight="1" spans="1:6">
      <c r="A56" s="16">
        <v>54</v>
      </c>
      <c r="B56" s="17" t="str">
        <f>"1012"</f>
        <v>1012</v>
      </c>
      <c r="C56" s="18" t="s">
        <v>7</v>
      </c>
      <c r="D56" s="16" t="str">
        <f>"谷贺莲"</f>
        <v>谷贺莲</v>
      </c>
      <c r="E56" s="19" t="str">
        <f>"河南师范大学"</f>
        <v>河南师范大学</v>
      </c>
      <c r="F56" s="18"/>
    </row>
    <row r="57" s="1" customFormat="1" ht="27" customHeight="1" spans="1:6">
      <c r="A57" s="16">
        <v>55</v>
      </c>
      <c r="B57" s="17" t="str">
        <f t="shared" ref="B57:B59" si="8">"1013"</f>
        <v>1013</v>
      </c>
      <c r="C57" s="18" t="s">
        <v>7</v>
      </c>
      <c r="D57" s="16" t="str">
        <f>"张进"</f>
        <v>张进</v>
      </c>
      <c r="E57" s="19" t="str">
        <f>"河南师范大学"</f>
        <v>河南师范大学</v>
      </c>
      <c r="F57" s="18"/>
    </row>
    <row r="58" s="1" customFormat="1" ht="27" customHeight="1" spans="1:6">
      <c r="A58" s="16">
        <v>56</v>
      </c>
      <c r="B58" s="17" t="str">
        <f t="shared" si="8"/>
        <v>1013</v>
      </c>
      <c r="C58" s="18" t="s">
        <v>7</v>
      </c>
      <c r="D58" s="16" t="str">
        <f>"张夏一"</f>
        <v>张夏一</v>
      </c>
      <c r="E58" s="19" t="str">
        <f>"辽宁师范大学"</f>
        <v>辽宁师范大学</v>
      </c>
      <c r="F58" s="18"/>
    </row>
    <row r="59" s="1" customFormat="1" ht="27" customHeight="1" spans="1:6">
      <c r="A59" s="16">
        <v>57</v>
      </c>
      <c r="B59" s="17" t="str">
        <f t="shared" si="8"/>
        <v>1013</v>
      </c>
      <c r="C59" s="18" t="s">
        <v>7</v>
      </c>
      <c r="D59" s="16" t="str">
        <f>"方馨悦"</f>
        <v>方馨悦</v>
      </c>
      <c r="E59" s="19" t="str">
        <f>"南阳师范学院"</f>
        <v>南阳师范学院</v>
      </c>
      <c r="F59" s="18"/>
    </row>
    <row r="60" s="1" customFormat="1" ht="27" customHeight="1" spans="1:6">
      <c r="A60" s="16">
        <v>58</v>
      </c>
      <c r="B60" s="17" t="str">
        <f t="shared" ref="B60:B62" si="9">"1014"</f>
        <v>1014</v>
      </c>
      <c r="C60" s="18" t="s">
        <v>7</v>
      </c>
      <c r="D60" s="16" t="str">
        <f>"左馨"</f>
        <v>左馨</v>
      </c>
      <c r="E60" s="19" t="str">
        <f>"南京晓庄学院"</f>
        <v>南京晓庄学院</v>
      </c>
      <c r="F60" s="18"/>
    </row>
    <row r="61" s="1" customFormat="1" ht="27" customHeight="1" spans="1:6">
      <c r="A61" s="16">
        <v>59</v>
      </c>
      <c r="B61" s="17" t="str">
        <f t="shared" si="9"/>
        <v>1014</v>
      </c>
      <c r="C61" s="18" t="s">
        <v>7</v>
      </c>
      <c r="D61" s="16" t="str">
        <f>"曾清源"</f>
        <v>曾清源</v>
      </c>
      <c r="E61" s="19" t="str">
        <f>"河南师范大学新联学院"</f>
        <v>河南师范大学新联学院</v>
      </c>
      <c r="F61" s="18"/>
    </row>
    <row r="62" s="1" customFormat="1" ht="27" customHeight="1" spans="1:6">
      <c r="A62" s="16">
        <v>60</v>
      </c>
      <c r="B62" s="17" t="str">
        <f t="shared" si="9"/>
        <v>1014</v>
      </c>
      <c r="C62" s="18" t="s">
        <v>7</v>
      </c>
      <c r="D62" s="16" t="str">
        <f>"姬玉洁"</f>
        <v>姬玉洁</v>
      </c>
      <c r="E62" s="19" t="str">
        <f>"安阳师范学院"</f>
        <v>安阳师范学院</v>
      </c>
      <c r="F62" s="18"/>
    </row>
    <row r="63" s="1" customFormat="1" ht="27" customHeight="1" spans="1:6">
      <c r="A63" s="16">
        <v>61</v>
      </c>
      <c r="B63" s="17" t="str">
        <f t="shared" ref="B63:B78" si="10">"2001"</f>
        <v>2001</v>
      </c>
      <c r="C63" s="18" t="s">
        <v>9</v>
      </c>
      <c r="D63" s="16" t="str">
        <f>"朱康佳"</f>
        <v>朱康佳</v>
      </c>
      <c r="E63" s="19" t="str">
        <f>"河北师范大学"</f>
        <v>河北师范大学</v>
      </c>
      <c r="F63" s="18"/>
    </row>
    <row r="64" s="1" customFormat="1" ht="27" customHeight="1" spans="1:6">
      <c r="A64" s="16">
        <v>62</v>
      </c>
      <c r="B64" s="17" t="str">
        <f t="shared" si="10"/>
        <v>2001</v>
      </c>
      <c r="C64" s="18" t="s">
        <v>9</v>
      </c>
      <c r="D64" s="16" t="str">
        <f>"胡守菊"</f>
        <v>胡守菊</v>
      </c>
      <c r="E64" s="19" t="str">
        <f>"新乡学院"</f>
        <v>新乡学院</v>
      </c>
      <c r="F64" s="18"/>
    </row>
    <row r="65" s="1" customFormat="1" ht="27" customHeight="1" spans="1:6">
      <c r="A65" s="16">
        <v>63</v>
      </c>
      <c r="B65" s="17" t="str">
        <f t="shared" si="10"/>
        <v>2001</v>
      </c>
      <c r="C65" s="18" t="s">
        <v>9</v>
      </c>
      <c r="D65" s="16" t="str">
        <f>"张甜"</f>
        <v>张甜</v>
      </c>
      <c r="E65" s="19" t="str">
        <f>"河南师范大学新联学院"</f>
        <v>河南师范大学新联学院</v>
      </c>
      <c r="F65" s="18"/>
    </row>
    <row r="66" s="1" customFormat="1" ht="27" customHeight="1" spans="1:6">
      <c r="A66" s="16">
        <v>64</v>
      </c>
      <c r="B66" s="17" t="str">
        <f t="shared" si="10"/>
        <v>2001</v>
      </c>
      <c r="C66" s="18" t="s">
        <v>9</v>
      </c>
      <c r="D66" s="16" t="str">
        <f>"王青"</f>
        <v>王青</v>
      </c>
      <c r="E66" s="19" t="str">
        <f>"南阳师范学院"</f>
        <v>南阳师范学院</v>
      </c>
      <c r="F66" s="18"/>
    </row>
    <row r="67" s="1" customFormat="1" ht="27" customHeight="1" spans="1:6">
      <c r="A67" s="16">
        <v>65</v>
      </c>
      <c r="B67" s="17" t="str">
        <f t="shared" si="10"/>
        <v>2001</v>
      </c>
      <c r="C67" s="18" t="s">
        <v>9</v>
      </c>
      <c r="D67" s="16" t="str">
        <f>"马继琳"</f>
        <v>马继琳</v>
      </c>
      <c r="E67" s="19" t="str">
        <f>"郑州师范学院"</f>
        <v>郑州师范学院</v>
      </c>
      <c r="F67" s="18"/>
    </row>
    <row r="68" s="1" customFormat="1" ht="27" customHeight="1" spans="1:6">
      <c r="A68" s="16">
        <v>66</v>
      </c>
      <c r="B68" s="17" t="str">
        <f t="shared" si="10"/>
        <v>2001</v>
      </c>
      <c r="C68" s="18" t="s">
        <v>9</v>
      </c>
      <c r="D68" s="16" t="str">
        <f>"张艺"</f>
        <v>张艺</v>
      </c>
      <c r="E68" s="19" t="str">
        <f>"天津师范大学"</f>
        <v>天津师范大学</v>
      </c>
      <c r="F68" s="18"/>
    </row>
    <row r="69" s="1" customFormat="1" ht="27" customHeight="1" spans="1:6">
      <c r="A69" s="16">
        <v>67</v>
      </c>
      <c r="B69" s="17" t="str">
        <f t="shared" si="10"/>
        <v>2001</v>
      </c>
      <c r="C69" s="18" t="s">
        <v>9</v>
      </c>
      <c r="D69" s="16" t="str">
        <f>"吕彩可"</f>
        <v>吕彩可</v>
      </c>
      <c r="E69" s="19" t="str">
        <f>"信阳学院"</f>
        <v>信阳学院</v>
      </c>
      <c r="F69" s="18"/>
    </row>
    <row r="70" s="1" customFormat="1" ht="27" customHeight="1" spans="1:6">
      <c r="A70" s="16">
        <v>68</v>
      </c>
      <c r="B70" s="17" t="str">
        <f t="shared" si="10"/>
        <v>2001</v>
      </c>
      <c r="C70" s="18" t="s">
        <v>9</v>
      </c>
      <c r="D70" s="16" t="str">
        <f>"李鹏玉"</f>
        <v>李鹏玉</v>
      </c>
      <c r="E70" s="19" t="str">
        <f>"许昌学院"</f>
        <v>许昌学院</v>
      </c>
      <c r="F70" s="18"/>
    </row>
    <row r="71" s="1" customFormat="1" ht="27" customHeight="1" spans="1:6">
      <c r="A71" s="16">
        <v>69</v>
      </c>
      <c r="B71" s="17" t="str">
        <f t="shared" si="10"/>
        <v>2001</v>
      </c>
      <c r="C71" s="18" t="s">
        <v>9</v>
      </c>
      <c r="D71" s="16" t="str">
        <f>"吕洋"</f>
        <v>吕洋</v>
      </c>
      <c r="E71" s="19" t="str">
        <f>"河南开封科技传媒学院"</f>
        <v>河南开封科技传媒学院</v>
      </c>
      <c r="F71" s="18"/>
    </row>
    <row r="72" s="1" customFormat="1" ht="27" customHeight="1" spans="1:6">
      <c r="A72" s="16">
        <v>70</v>
      </c>
      <c r="B72" s="17" t="str">
        <f t="shared" si="10"/>
        <v>2001</v>
      </c>
      <c r="C72" s="18" t="s">
        <v>9</v>
      </c>
      <c r="D72" s="16" t="str">
        <f>"宋汶格"</f>
        <v>宋汶格</v>
      </c>
      <c r="E72" s="19" t="str">
        <f>"安阳师范学院"</f>
        <v>安阳师范学院</v>
      </c>
      <c r="F72" s="18"/>
    </row>
    <row r="73" s="1" customFormat="1" ht="27" customHeight="1" spans="1:6">
      <c r="A73" s="16">
        <v>71</v>
      </c>
      <c r="B73" s="17" t="str">
        <f t="shared" si="10"/>
        <v>2001</v>
      </c>
      <c r="C73" s="18" t="s">
        <v>9</v>
      </c>
      <c r="D73" s="16" t="str">
        <f>"鲁茜"</f>
        <v>鲁茜</v>
      </c>
      <c r="E73" s="19" t="str">
        <f>"平顶山学院"</f>
        <v>平顶山学院</v>
      </c>
      <c r="F73" s="18"/>
    </row>
    <row r="74" s="1" customFormat="1" ht="27" customHeight="1" spans="1:6">
      <c r="A74" s="16">
        <v>72</v>
      </c>
      <c r="B74" s="17" t="str">
        <f t="shared" si="10"/>
        <v>2001</v>
      </c>
      <c r="C74" s="18" t="s">
        <v>9</v>
      </c>
      <c r="D74" s="16" t="str">
        <f>"张铭"</f>
        <v>张铭</v>
      </c>
      <c r="E74" s="19" t="str">
        <f>"许昌学院"</f>
        <v>许昌学院</v>
      </c>
      <c r="F74" s="18"/>
    </row>
    <row r="75" s="1" customFormat="1" ht="27" customHeight="1" spans="1:6">
      <c r="A75" s="16">
        <v>73</v>
      </c>
      <c r="B75" s="17" t="str">
        <f t="shared" si="10"/>
        <v>2001</v>
      </c>
      <c r="C75" s="18" t="s">
        <v>9</v>
      </c>
      <c r="D75" s="16" t="str">
        <f>"时雅茹"</f>
        <v>时雅茹</v>
      </c>
      <c r="E75" s="19" t="str">
        <f>"河南科技学院新科学院"</f>
        <v>河南科技学院新科学院</v>
      </c>
      <c r="F75" s="18"/>
    </row>
    <row r="76" s="1" customFormat="1" ht="27" customHeight="1" spans="1:6">
      <c r="A76" s="16">
        <v>74</v>
      </c>
      <c r="B76" s="17" t="str">
        <f t="shared" si="10"/>
        <v>2001</v>
      </c>
      <c r="C76" s="18" t="s">
        <v>9</v>
      </c>
      <c r="D76" s="16" t="str">
        <f>"郭歌"</f>
        <v>郭歌</v>
      </c>
      <c r="E76" s="19" t="str">
        <f>"河南科技学院"</f>
        <v>河南科技学院</v>
      </c>
      <c r="F76" s="18"/>
    </row>
    <row r="77" s="2" customFormat="1" ht="27" customHeight="1" spans="1:6">
      <c r="A77" s="16">
        <v>75</v>
      </c>
      <c r="B77" s="17" t="str">
        <f t="shared" si="10"/>
        <v>2001</v>
      </c>
      <c r="C77" s="17" t="s">
        <v>9</v>
      </c>
      <c r="D77" s="16" t="str">
        <f>"唐若云"</f>
        <v>唐若云</v>
      </c>
      <c r="E77" s="20" t="str">
        <f>"河南师范大学新联学院"</f>
        <v>河南师范大学新联学院</v>
      </c>
      <c r="F77" s="17"/>
    </row>
    <row r="78" s="1" customFormat="1" ht="27" customHeight="1" spans="1:6">
      <c r="A78" s="16">
        <v>76</v>
      </c>
      <c r="B78" s="17" t="str">
        <f>"2002"</f>
        <v>2002</v>
      </c>
      <c r="C78" s="18" t="s">
        <v>9</v>
      </c>
      <c r="D78" s="16" t="str">
        <f>"胡盼"</f>
        <v>胡盼</v>
      </c>
      <c r="E78" s="19" t="str">
        <f>"河南理工大学"</f>
        <v>河南理工大学</v>
      </c>
      <c r="F78" s="18"/>
    </row>
    <row r="79" s="1" customFormat="1" ht="27" customHeight="1" spans="1:6">
      <c r="A79" s="16">
        <v>77</v>
      </c>
      <c r="B79" s="17" t="str">
        <f>"2002"</f>
        <v>2002</v>
      </c>
      <c r="C79" s="18" t="s">
        <v>9</v>
      </c>
      <c r="D79" s="16" t="str">
        <f>"刘庭婷"</f>
        <v>刘庭婷</v>
      </c>
      <c r="E79" s="19" t="str">
        <f>"河南师范大学"</f>
        <v>河南师范大学</v>
      </c>
      <c r="F79" s="18"/>
    </row>
    <row r="80" s="1" customFormat="1" ht="27" customHeight="1" spans="1:6">
      <c r="A80" s="16">
        <v>78</v>
      </c>
      <c r="B80" s="17" t="str">
        <f>"2002"</f>
        <v>2002</v>
      </c>
      <c r="C80" s="18" t="s">
        <v>9</v>
      </c>
      <c r="D80" s="16" t="str">
        <f>"李丹妮"</f>
        <v>李丹妮</v>
      </c>
      <c r="E80" s="19" t="str">
        <f>"河南师范大学新联学院"</f>
        <v>河南师范大学新联学院</v>
      </c>
      <c r="F80" s="18"/>
    </row>
    <row r="81" s="1" customFormat="1" ht="27" customHeight="1" spans="1:6">
      <c r="A81" s="16">
        <v>79</v>
      </c>
      <c r="B81" s="17" t="str">
        <f t="shared" ref="B81:B92" si="11">"2002"</f>
        <v>2002</v>
      </c>
      <c r="C81" s="18" t="s">
        <v>9</v>
      </c>
      <c r="D81" s="16" t="str">
        <f>"张宛玉"</f>
        <v>张宛玉</v>
      </c>
      <c r="E81" s="19" t="str">
        <f>"江西师范大学科学技术学院"</f>
        <v>江西师范大学科学技术学院</v>
      </c>
      <c r="F81" s="18"/>
    </row>
    <row r="82" s="1" customFormat="1" ht="27" customHeight="1" spans="1:6">
      <c r="A82" s="16">
        <v>80</v>
      </c>
      <c r="B82" s="17" t="str">
        <f t="shared" si="11"/>
        <v>2002</v>
      </c>
      <c r="C82" s="18" t="s">
        <v>9</v>
      </c>
      <c r="D82" s="16" t="str">
        <f>"杨璐雨"</f>
        <v>杨璐雨</v>
      </c>
      <c r="E82" s="19" t="str">
        <f>"新乡学院"</f>
        <v>新乡学院</v>
      </c>
      <c r="F82" s="18"/>
    </row>
    <row r="83" s="1" customFormat="1" ht="27" customHeight="1" spans="1:6">
      <c r="A83" s="16">
        <v>81</v>
      </c>
      <c r="B83" s="17" t="str">
        <f t="shared" si="11"/>
        <v>2002</v>
      </c>
      <c r="C83" s="18" t="s">
        <v>9</v>
      </c>
      <c r="D83" s="16" t="str">
        <f>"赵庆洪"</f>
        <v>赵庆洪</v>
      </c>
      <c r="E83" s="19" t="str">
        <f>"南阳师范学院"</f>
        <v>南阳师范学院</v>
      </c>
      <c r="F83" s="18"/>
    </row>
    <row r="84" s="1" customFormat="1" ht="27" customHeight="1" spans="1:6">
      <c r="A84" s="16">
        <v>82</v>
      </c>
      <c r="B84" s="17" t="str">
        <f t="shared" si="11"/>
        <v>2002</v>
      </c>
      <c r="C84" s="18" t="s">
        <v>9</v>
      </c>
      <c r="D84" s="16" t="str">
        <f>"崔娇娇"</f>
        <v>崔娇娇</v>
      </c>
      <c r="E84" s="19" t="str">
        <f>"安阳师范学院"</f>
        <v>安阳师范学院</v>
      </c>
      <c r="F84" s="18"/>
    </row>
    <row r="85" s="1" customFormat="1" ht="27" customHeight="1" spans="1:6">
      <c r="A85" s="16">
        <v>83</v>
      </c>
      <c r="B85" s="17" t="str">
        <f t="shared" si="11"/>
        <v>2002</v>
      </c>
      <c r="C85" s="18" t="s">
        <v>9</v>
      </c>
      <c r="D85" s="16" t="str">
        <f>"苏家音"</f>
        <v>苏家音</v>
      </c>
      <c r="E85" s="19" t="str">
        <f>"信阳学院"</f>
        <v>信阳学院</v>
      </c>
      <c r="F85" s="18"/>
    </row>
    <row r="86" s="1" customFormat="1" ht="27" customHeight="1" spans="1:6">
      <c r="A86" s="16">
        <v>84</v>
      </c>
      <c r="B86" s="17" t="str">
        <f t="shared" si="11"/>
        <v>2002</v>
      </c>
      <c r="C86" s="18" t="s">
        <v>9</v>
      </c>
      <c r="D86" s="16" t="str">
        <f>"李强"</f>
        <v>李强</v>
      </c>
      <c r="E86" s="19" t="str">
        <f>"郑州师范学院"</f>
        <v>郑州师范学院</v>
      </c>
      <c r="F86" s="18"/>
    </row>
    <row r="87" s="1" customFormat="1" ht="27" customHeight="1" spans="1:6">
      <c r="A87" s="16">
        <v>85</v>
      </c>
      <c r="B87" s="17" t="str">
        <f t="shared" si="11"/>
        <v>2002</v>
      </c>
      <c r="C87" s="18" t="s">
        <v>9</v>
      </c>
      <c r="D87" s="16" t="str">
        <f>"王凌淳"</f>
        <v>王凌淳</v>
      </c>
      <c r="E87" s="19" t="str">
        <f>"南阳师范学院"</f>
        <v>南阳师范学院</v>
      </c>
      <c r="F87" s="18"/>
    </row>
    <row r="88" s="1" customFormat="1" ht="27" customHeight="1" spans="1:6">
      <c r="A88" s="16">
        <v>86</v>
      </c>
      <c r="B88" s="17" t="str">
        <f t="shared" si="11"/>
        <v>2002</v>
      </c>
      <c r="C88" s="18" t="s">
        <v>9</v>
      </c>
      <c r="D88" s="16" t="str">
        <f>"王晨"</f>
        <v>王晨</v>
      </c>
      <c r="E88" s="19" t="str">
        <f>"河南师范大学新联学院"</f>
        <v>河南师范大学新联学院</v>
      </c>
      <c r="F88" s="18"/>
    </row>
    <row r="89" s="1" customFormat="1" ht="27" customHeight="1" spans="1:6">
      <c r="A89" s="16">
        <v>87</v>
      </c>
      <c r="B89" s="17" t="str">
        <f t="shared" si="11"/>
        <v>2002</v>
      </c>
      <c r="C89" s="18" t="s">
        <v>9</v>
      </c>
      <c r="D89" s="16" t="str">
        <f>"李贺颖"</f>
        <v>李贺颖</v>
      </c>
      <c r="E89" s="19" t="str">
        <f>"信阳学院"</f>
        <v>信阳学院</v>
      </c>
      <c r="F89" s="18"/>
    </row>
    <row r="90" s="1" customFormat="1" ht="27" customHeight="1" spans="1:6">
      <c r="A90" s="16">
        <v>88</v>
      </c>
      <c r="B90" s="17" t="str">
        <f t="shared" si="11"/>
        <v>2002</v>
      </c>
      <c r="C90" s="18" t="s">
        <v>9</v>
      </c>
      <c r="D90" s="16" t="str">
        <f>"勇鹏飞"</f>
        <v>勇鹏飞</v>
      </c>
      <c r="E90" s="19" t="str">
        <f>"南阳师范学院"</f>
        <v>南阳师范学院</v>
      </c>
      <c r="F90" s="18"/>
    </row>
    <row r="91" s="2" customFormat="1" ht="27" customHeight="1" spans="1:6">
      <c r="A91" s="16">
        <v>89</v>
      </c>
      <c r="B91" s="17" t="str">
        <f t="shared" si="11"/>
        <v>2002</v>
      </c>
      <c r="C91" s="17" t="s">
        <v>9</v>
      </c>
      <c r="D91" s="16" t="str">
        <f>"魏金燕"</f>
        <v>魏金燕</v>
      </c>
      <c r="E91" s="20" t="str">
        <f>"南阳师范学院"</f>
        <v>南阳师范学院</v>
      </c>
      <c r="F91" s="17"/>
    </row>
    <row r="92" s="1" customFormat="1" ht="27" customHeight="1" spans="1:6">
      <c r="A92" s="16">
        <v>90</v>
      </c>
      <c r="B92" s="17" t="str">
        <f>"2003"</f>
        <v>2003</v>
      </c>
      <c r="C92" s="18" t="s">
        <v>9</v>
      </c>
      <c r="D92" s="16" t="str">
        <f>"苗梦"</f>
        <v>苗梦</v>
      </c>
      <c r="E92" s="19" t="str">
        <f>"南阳师范学院"</f>
        <v>南阳师范学院</v>
      </c>
      <c r="F92" s="18"/>
    </row>
    <row r="93" s="1" customFormat="1" ht="27" customHeight="1" spans="1:6">
      <c r="A93" s="16">
        <v>91</v>
      </c>
      <c r="B93" s="17" t="str">
        <f>"2003"</f>
        <v>2003</v>
      </c>
      <c r="C93" s="18" t="s">
        <v>9</v>
      </c>
      <c r="D93" s="16" t="str">
        <f>"张永音"</f>
        <v>张永音</v>
      </c>
      <c r="E93" s="19" t="str">
        <f>"安阳师范学院"</f>
        <v>安阳师范学院</v>
      </c>
      <c r="F93" s="18"/>
    </row>
    <row r="94" s="1" customFormat="1" ht="27" customHeight="1" spans="1:6">
      <c r="A94" s="16">
        <v>92</v>
      </c>
      <c r="B94" s="17" t="str">
        <f>"2003"</f>
        <v>2003</v>
      </c>
      <c r="C94" s="18" t="s">
        <v>9</v>
      </c>
      <c r="D94" s="16" t="str">
        <f>"李雪"</f>
        <v>李雪</v>
      </c>
      <c r="E94" s="19" t="str">
        <f>"河南师范大学新联学院"</f>
        <v>河南师范大学新联学院</v>
      </c>
      <c r="F94" s="18"/>
    </row>
    <row r="95" s="1" customFormat="1" ht="27" customHeight="1" spans="1:6">
      <c r="A95" s="16">
        <v>93</v>
      </c>
      <c r="B95" s="17" t="str">
        <f>"2003"</f>
        <v>2003</v>
      </c>
      <c r="C95" s="18" t="s">
        <v>9</v>
      </c>
      <c r="D95" s="16" t="str">
        <f>"李璐"</f>
        <v>李璐</v>
      </c>
      <c r="E95" s="19" t="str">
        <f>"信阳学院"</f>
        <v>信阳学院</v>
      </c>
      <c r="F95" s="18"/>
    </row>
    <row r="96" s="1" customFormat="1" ht="27" customHeight="1" spans="1:6">
      <c r="A96" s="16">
        <v>94</v>
      </c>
      <c r="B96" s="17" t="str">
        <f t="shared" ref="B96:B103" si="12">"2003"</f>
        <v>2003</v>
      </c>
      <c r="C96" s="18" t="s">
        <v>9</v>
      </c>
      <c r="D96" s="16" t="str">
        <f>"刘志仙"</f>
        <v>刘志仙</v>
      </c>
      <c r="E96" s="19" t="str">
        <f>"河南科技学院新科学院"</f>
        <v>河南科技学院新科学院</v>
      </c>
      <c r="F96" s="18"/>
    </row>
    <row r="97" s="1" customFormat="1" ht="27" customHeight="1" spans="1:6">
      <c r="A97" s="16">
        <v>95</v>
      </c>
      <c r="B97" s="17" t="str">
        <f t="shared" si="12"/>
        <v>2003</v>
      </c>
      <c r="C97" s="18" t="s">
        <v>9</v>
      </c>
      <c r="D97" s="16" t="str">
        <f>"苏丹阳"</f>
        <v>苏丹阳</v>
      </c>
      <c r="E97" s="19" t="str">
        <f>"信阳学院"</f>
        <v>信阳学院</v>
      </c>
      <c r="F97" s="18"/>
    </row>
    <row r="98" s="1" customFormat="1" ht="27" customHeight="1" spans="1:6">
      <c r="A98" s="16">
        <v>96</v>
      </c>
      <c r="B98" s="17" t="str">
        <f t="shared" si="12"/>
        <v>2003</v>
      </c>
      <c r="C98" s="18" t="s">
        <v>9</v>
      </c>
      <c r="D98" s="16" t="str">
        <f>"何彦霓"</f>
        <v>何彦霓</v>
      </c>
      <c r="E98" s="19" t="str">
        <f>"安阳学院"</f>
        <v>安阳学院</v>
      </c>
      <c r="F98" s="18"/>
    </row>
    <row r="99" s="1" customFormat="1" ht="27" customHeight="1" spans="1:6">
      <c r="A99" s="16">
        <v>97</v>
      </c>
      <c r="B99" s="17" t="str">
        <f t="shared" si="12"/>
        <v>2003</v>
      </c>
      <c r="C99" s="18" t="s">
        <v>9</v>
      </c>
      <c r="D99" s="16" t="str">
        <f>"王清月"</f>
        <v>王清月</v>
      </c>
      <c r="E99" s="19" t="str">
        <f>"河南师范大学"</f>
        <v>河南师范大学</v>
      </c>
      <c r="F99" s="18"/>
    </row>
    <row r="100" s="1" customFormat="1" ht="27" customHeight="1" spans="1:6">
      <c r="A100" s="16">
        <v>98</v>
      </c>
      <c r="B100" s="17" t="str">
        <f t="shared" si="12"/>
        <v>2003</v>
      </c>
      <c r="C100" s="18" t="s">
        <v>9</v>
      </c>
      <c r="D100" s="16" t="str">
        <f>"许晨阳"</f>
        <v>许晨阳</v>
      </c>
      <c r="E100" s="19" t="str">
        <f>"南阳师范学院"</f>
        <v>南阳师范学院</v>
      </c>
      <c r="F100" s="18"/>
    </row>
    <row r="101" s="1" customFormat="1" ht="27" customHeight="1" spans="1:6">
      <c r="A101" s="16">
        <v>99</v>
      </c>
      <c r="B101" s="17" t="str">
        <f t="shared" si="12"/>
        <v>2003</v>
      </c>
      <c r="C101" s="18" t="s">
        <v>9</v>
      </c>
      <c r="D101" s="16" t="str">
        <f>"牛佳欣"</f>
        <v>牛佳欣</v>
      </c>
      <c r="E101" s="19" t="str">
        <f>"许昌学院"</f>
        <v>许昌学院</v>
      </c>
      <c r="F101" s="18"/>
    </row>
    <row r="102" s="2" customFormat="1" ht="27" customHeight="1" spans="1:6">
      <c r="A102" s="16">
        <v>100</v>
      </c>
      <c r="B102" s="17" t="str">
        <f t="shared" si="12"/>
        <v>2003</v>
      </c>
      <c r="C102" s="17" t="s">
        <v>9</v>
      </c>
      <c r="D102" s="16" t="str">
        <f>"陈雅楠"</f>
        <v>陈雅楠</v>
      </c>
      <c r="E102" s="20" t="str">
        <f>"河南师范大学"</f>
        <v>河南师范大学</v>
      </c>
      <c r="F102" s="17"/>
    </row>
    <row r="103" s="2" customFormat="1" ht="27" customHeight="1" spans="1:6">
      <c r="A103" s="16">
        <v>101</v>
      </c>
      <c r="B103" s="17" t="str">
        <f t="shared" si="12"/>
        <v>2003</v>
      </c>
      <c r="C103" s="17" t="s">
        <v>9</v>
      </c>
      <c r="D103" s="16" t="str">
        <f>"彭双"</f>
        <v>彭双</v>
      </c>
      <c r="E103" s="20" t="str">
        <f>"南阳理工学院"</f>
        <v>南阳理工学院</v>
      </c>
      <c r="F103" s="17"/>
    </row>
    <row r="104" s="1" customFormat="1" ht="27" customHeight="1" spans="1:6">
      <c r="A104" s="16">
        <v>102</v>
      </c>
      <c r="B104" s="17" t="str">
        <f>"2004"</f>
        <v>2004</v>
      </c>
      <c r="C104" s="18" t="s">
        <v>9</v>
      </c>
      <c r="D104" s="16" t="str">
        <f>"孙若楠"</f>
        <v>孙若楠</v>
      </c>
      <c r="E104" s="19" t="str">
        <f>"信阳学院"</f>
        <v>信阳学院</v>
      </c>
      <c r="F104" s="18"/>
    </row>
    <row r="105" s="1" customFormat="1" ht="27" customHeight="1" spans="1:6">
      <c r="A105" s="16">
        <v>103</v>
      </c>
      <c r="B105" s="17" t="str">
        <f>"2004"</f>
        <v>2004</v>
      </c>
      <c r="C105" s="18" t="s">
        <v>9</v>
      </c>
      <c r="D105" s="16" t="str">
        <f>"王子晴"</f>
        <v>王子晴</v>
      </c>
      <c r="E105" s="19" t="str">
        <f>"河南大学"</f>
        <v>河南大学</v>
      </c>
      <c r="F105" s="18"/>
    </row>
    <row r="106" s="2" customFormat="1" ht="27" customHeight="1" spans="1:6">
      <c r="A106" s="16">
        <v>104</v>
      </c>
      <c r="B106" s="17" t="str">
        <f>"2004"</f>
        <v>2004</v>
      </c>
      <c r="C106" s="17" t="s">
        <v>9</v>
      </c>
      <c r="D106" s="16" t="str">
        <f>"蒋帅宇"</f>
        <v>蒋帅宇</v>
      </c>
      <c r="E106" s="20" t="str">
        <f>"郑州师范学院"</f>
        <v>郑州师范学院</v>
      </c>
      <c r="F106" s="17"/>
    </row>
    <row r="107" s="2" customFormat="1" ht="27" customHeight="1" spans="1:6">
      <c r="A107" s="16">
        <v>105</v>
      </c>
      <c r="B107" s="17" t="str">
        <f>"2004"</f>
        <v>2004</v>
      </c>
      <c r="C107" s="17" t="s">
        <v>9</v>
      </c>
      <c r="D107" s="16" t="str">
        <f>"彭俊铭"</f>
        <v>彭俊铭</v>
      </c>
      <c r="E107" s="20" t="str">
        <f>"海南师范大学"</f>
        <v>海南师范大学</v>
      </c>
      <c r="F107" s="17"/>
    </row>
    <row r="108" s="1" customFormat="1" ht="27" customHeight="1" spans="1:6">
      <c r="A108" s="16">
        <v>106</v>
      </c>
      <c r="B108" s="17" t="str">
        <f t="shared" ref="B108:B113" si="13">"2005"</f>
        <v>2005</v>
      </c>
      <c r="C108" s="18" t="s">
        <v>9</v>
      </c>
      <c r="D108" s="16" t="str">
        <f>"陈亚娜"</f>
        <v>陈亚娜</v>
      </c>
      <c r="E108" s="19" t="str">
        <f>"河北科技大学"</f>
        <v>河北科技大学</v>
      </c>
      <c r="F108" s="18"/>
    </row>
    <row r="109" s="1" customFormat="1" ht="27" customHeight="1" spans="1:6">
      <c r="A109" s="16">
        <v>107</v>
      </c>
      <c r="B109" s="17" t="str">
        <f t="shared" si="13"/>
        <v>2005</v>
      </c>
      <c r="C109" s="18" t="s">
        <v>9</v>
      </c>
      <c r="D109" s="16" t="str">
        <f>"郑昊雯"</f>
        <v>郑昊雯</v>
      </c>
      <c r="E109" s="19" t="str">
        <f>"南阳师范学院"</f>
        <v>南阳师范学院</v>
      </c>
      <c r="F109" s="18"/>
    </row>
    <row r="110" s="1" customFormat="1" ht="27" customHeight="1" spans="1:6">
      <c r="A110" s="16">
        <v>108</v>
      </c>
      <c r="B110" s="17" t="str">
        <f t="shared" si="13"/>
        <v>2005</v>
      </c>
      <c r="C110" s="18" t="s">
        <v>9</v>
      </c>
      <c r="D110" s="16" t="str">
        <f>"卢靖仁"</f>
        <v>卢靖仁</v>
      </c>
      <c r="E110" s="19" t="str">
        <f t="shared" ref="E110:E114" si="14">"郑州大学"</f>
        <v>郑州大学</v>
      </c>
      <c r="F110" s="18"/>
    </row>
    <row r="111" s="1" customFormat="1" ht="27" customHeight="1" spans="1:6">
      <c r="A111" s="16">
        <v>109</v>
      </c>
      <c r="B111" s="17" t="str">
        <f t="shared" si="13"/>
        <v>2005</v>
      </c>
      <c r="C111" s="18" t="s">
        <v>9</v>
      </c>
      <c r="D111" s="16" t="str">
        <f>"李飒"</f>
        <v>李飒</v>
      </c>
      <c r="E111" s="19" t="str">
        <f t="shared" si="14"/>
        <v>郑州大学</v>
      </c>
      <c r="F111" s="18"/>
    </row>
    <row r="112" s="1" customFormat="1" ht="27" customHeight="1" spans="1:6">
      <c r="A112" s="16">
        <v>110</v>
      </c>
      <c r="B112" s="17" t="str">
        <f t="shared" si="13"/>
        <v>2005</v>
      </c>
      <c r="C112" s="18" t="s">
        <v>9</v>
      </c>
      <c r="D112" s="16" t="str">
        <f>"李冰欣"</f>
        <v>李冰欣</v>
      </c>
      <c r="E112" s="19" t="str">
        <f>"长春师范大学"</f>
        <v>长春师范大学</v>
      </c>
      <c r="F112" s="18"/>
    </row>
    <row r="113" s="1" customFormat="1" ht="27" customHeight="1" spans="1:6">
      <c r="A113" s="16">
        <v>111</v>
      </c>
      <c r="B113" s="17" t="str">
        <f t="shared" si="13"/>
        <v>2005</v>
      </c>
      <c r="C113" s="17" t="s">
        <v>9</v>
      </c>
      <c r="D113" s="16" t="str">
        <f>"马哲"</f>
        <v>马哲</v>
      </c>
      <c r="E113" s="20" t="str">
        <f>"南阳师范学院"</f>
        <v>南阳师范学院</v>
      </c>
      <c r="F113" s="17"/>
    </row>
    <row r="114" s="1" customFormat="1" ht="27" customHeight="1" spans="1:6">
      <c r="A114" s="16">
        <v>112</v>
      </c>
      <c r="B114" s="17" t="str">
        <f t="shared" ref="B114:B119" si="15">"2006"</f>
        <v>2006</v>
      </c>
      <c r="C114" s="18" t="s">
        <v>9</v>
      </c>
      <c r="D114" s="16" t="str">
        <f>"李斯"</f>
        <v>李斯</v>
      </c>
      <c r="E114" s="19" t="str">
        <f t="shared" si="14"/>
        <v>郑州大学</v>
      </c>
      <c r="F114" s="18"/>
    </row>
    <row r="115" s="1" customFormat="1" ht="27" customHeight="1" spans="1:6">
      <c r="A115" s="16">
        <v>113</v>
      </c>
      <c r="B115" s="17" t="str">
        <f t="shared" si="15"/>
        <v>2006</v>
      </c>
      <c r="C115" s="18" t="s">
        <v>9</v>
      </c>
      <c r="D115" s="16" t="str">
        <f>"袁素素"</f>
        <v>袁素素</v>
      </c>
      <c r="E115" s="19" t="str">
        <f>"河南师范大学新联学院"</f>
        <v>河南师范大学新联学院</v>
      </c>
      <c r="F115" s="18"/>
    </row>
    <row r="116" s="1" customFormat="1" ht="27" customHeight="1" spans="1:6">
      <c r="A116" s="16">
        <v>114</v>
      </c>
      <c r="B116" s="17" t="str">
        <f t="shared" si="15"/>
        <v>2006</v>
      </c>
      <c r="C116" s="18" t="s">
        <v>9</v>
      </c>
      <c r="D116" s="16" t="str">
        <f>"黄伟伟"</f>
        <v>黄伟伟</v>
      </c>
      <c r="E116" s="19" t="str">
        <f>"南阳师范学院"</f>
        <v>南阳师范学院</v>
      </c>
      <c r="F116" s="18"/>
    </row>
    <row r="117" s="1" customFormat="1" ht="27" customHeight="1" spans="1:6">
      <c r="A117" s="16">
        <v>115</v>
      </c>
      <c r="B117" s="17" t="str">
        <f t="shared" si="15"/>
        <v>2006</v>
      </c>
      <c r="C117" s="18" t="s">
        <v>9</v>
      </c>
      <c r="D117" s="16" t="str">
        <f>"杨玉乐"</f>
        <v>杨玉乐</v>
      </c>
      <c r="E117" s="19" t="str">
        <f>"河南科技职业大学"</f>
        <v>河南科技职业大学</v>
      </c>
      <c r="F117" s="18"/>
    </row>
    <row r="118" s="1" customFormat="1" ht="27" customHeight="1" spans="1:6">
      <c r="A118" s="16">
        <v>116</v>
      </c>
      <c r="B118" s="17" t="str">
        <f t="shared" si="15"/>
        <v>2006</v>
      </c>
      <c r="C118" s="18" t="s">
        <v>9</v>
      </c>
      <c r="D118" s="16" t="str">
        <f>"王小会"</f>
        <v>王小会</v>
      </c>
      <c r="E118" s="19" t="str">
        <f>"南阳师范学院"</f>
        <v>南阳师范学院</v>
      </c>
      <c r="F118" s="18"/>
    </row>
    <row r="119" s="2" customFormat="1" ht="27" customHeight="1" spans="1:6">
      <c r="A119" s="16">
        <v>117</v>
      </c>
      <c r="B119" s="17" t="str">
        <f t="shared" si="15"/>
        <v>2006</v>
      </c>
      <c r="C119" s="17" t="s">
        <v>9</v>
      </c>
      <c r="D119" s="16" t="str">
        <f>"祝可可"</f>
        <v>祝可可</v>
      </c>
      <c r="E119" s="20" t="str">
        <f>"周口师范学院"</f>
        <v>周口师范学院</v>
      </c>
      <c r="F119" s="17"/>
    </row>
    <row r="120" s="1" customFormat="1" ht="27" customHeight="1" spans="1:6">
      <c r="A120" s="16">
        <v>118</v>
      </c>
      <c r="B120" s="17" t="str">
        <f t="shared" ref="B120:B125" si="16">"2007"</f>
        <v>2007</v>
      </c>
      <c r="C120" s="18" t="s">
        <v>9</v>
      </c>
      <c r="D120" s="16" t="str">
        <f>"宋惠"</f>
        <v>宋惠</v>
      </c>
      <c r="E120" s="19" t="str">
        <f>"安阳师范学院"</f>
        <v>安阳师范学院</v>
      </c>
      <c r="F120" s="18"/>
    </row>
    <row r="121" s="1" customFormat="1" ht="27" customHeight="1" spans="1:6">
      <c r="A121" s="16">
        <v>119</v>
      </c>
      <c r="B121" s="17" t="str">
        <f t="shared" si="16"/>
        <v>2007</v>
      </c>
      <c r="C121" s="18" t="s">
        <v>9</v>
      </c>
      <c r="D121" s="16" t="str">
        <f>"李苗苗"</f>
        <v>李苗苗</v>
      </c>
      <c r="E121" s="19" t="str">
        <f>"周口师范学院"</f>
        <v>周口师范学院</v>
      </c>
      <c r="F121" s="18"/>
    </row>
    <row r="122" s="1" customFormat="1" ht="27" customHeight="1" spans="1:6">
      <c r="A122" s="16">
        <v>120</v>
      </c>
      <c r="B122" s="17" t="str">
        <f t="shared" si="16"/>
        <v>2007</v>
      </c>
      <c r="C122" s="18" t="s">
        <v>9</v>
      </c>
      <c r="D122" s="16" t="str">
        <f>"刘新"</f>
        <v>刘新</v>
      </c>
      <c r="E122" s="19" t="str">
        <f>"周口师范学院"</f>
        <v>周口师范学院</v>
      </c>
      <c r="F122" s="18"/>
    </row>
    <row r="123" s="1" customFormat="1" ht="27" customHeight="1" spans="1:6">
      <c r="A123" s="16">
        <v>121</v>
      </c>
      <c r="B123" s="17" t="str">
        <f t="shared" si="16"/>
        <v>2007</v>
      </c>
      <c r="C123" s="18" t="s">
        <v>9</v>
      </c>
      <c r="D123" s="16" t="str">
        <f>"郭婷婷"</f>
        <v>郭婷婷</v>
      </c>
      <c r="E123" s="19" t="str">
        <f>"郑州大学"</f>
        <v>郑州大学</v>
      </c>
      <c r="F123" s="18"/>
    </row>
    <row r="124" s="1" customFormat="1" ht="27" customHeight="1" spans="1:6">
      <c r="A124" s="16">
        <v>122</v>
      </c>
      <c r="B124" s="17" t="str">
        <f t="shared" si="16"/>
        <v>2007</v>
      </c>
      <c r="C124" s="18" t="s">
        <v>9</v>
      </c>
      <c r="D124" s="16" t="str">
        <f>"胡佳怡"</f>
        <v>胡佳怡</v>
      </c>
      <c r="E124" s="19" t="str">
        <f>"信阳师范学院"</f>
        <v>信阳师范学院</v>
      </c>
      <c r="F124" s="18"/>
    </row>
    <row r="125" s="1" customFormat="1" ht="27" customHeight="1" spans="1:6">
      <c r="A125" s="16">
        <v>123</v>
      </c>
      <c r="B125" s="17" t="str">
        <f t="shared" si="16"/>
        <v>2007</v>
      </c>
      <c r="C125" s="18" t="s">
        <v>9</v>
      </c>
      <c r="D125" s="16" t="str">
        <f>"王洒洒"</f>
        <v>王洒洒</v>
      </c>
      <c r="E125" s="19" t="str">
        <f>"华中师范大学"</f>
        <v>华中师范大学</v>
      </c>
      <c r="F125" s="18"/>
    </row>
    <row r="126" s="1" customFormat="1" ht="27" customHeight="1" spans="1:6">
      <c r="A126" s="16">
        <v>124</v>
      </c>
      <c r="B126" s="17" t="str">
        <f t="shared" ref="B126:B131" si="17">"2008"</f>
        <v>2008</v>
      </c>
      <c r="C126" s="18" t="s">
        <v>9</v>
      </c>
      <c r="D126" s="16" t="str">
        <f>"李洋爽"</f>
        <v>李洋爽</v>
      </c>
      <c r="E126" s="19" t="str">
        <f>"安阳师范学院"</f>
        <v>安阳师范学院</v>
      </c>
      <c r="F126" s="18"/>
    </row>
    <row r="127" s="1" customFormat="1" ht="27" customHeight="1" spans="1:6">
      <c r="A127" s="16">
        <v>125</v>
      </c>
      <c r="B127" s="17" t="str">
        <f t="shared" si="17"/>
        <v>2008</v>
      </c>
      <c r="C127" s="18" t="s">
        <v>9</v>
      </c>
      <c r="D127" s="16" t="str">
        <f>"程龙"</f>
        <v>程龙</v>
      </c>
      <c r="E127" s="19" t="str">
        <f>"信阳师范学院"</f>
        <v>信阳师范学院</v>
      </c>
      <c r="F127" s="18"/>
    </row>
    <row r="128" s="1" customFormat="1" ht="27" customHeight="1" spans="1:6">
      <c r="A128" s="16">
        <v>126</v>
      </c>
      <c r="B128" s="17" t="str">
        <f t="shared" si="17"/>
        <v>2008</v>
      </c>
      <c r="C128" s="18" t="s">
        <v>9</v>
      </c>
      <c r="D128" s="16" t="str">
        <f>"赵幸幸"</f>
        <v>赵幸幸</v>
      </c>
      <c r="E128" s="19" t="str">
        <f>"安阳师范学院"</f>
        <v>安阳师范学院</v>
      </c>
      <c r="F128" s="18"/>
    </row>
    <row r="129" s="1" customFormat="1" ht="27" customHeight="1" spans="1:6">
      <c r="A129" s="16">
        <v>127</v>
      </c>
      <c r="B129" s="17" t="str">
        <f t="shared" si="17"/>
        <v>2008</v>
      </c>
      <c r="C129" s="18" t="s">
        <v>9</v>
      </c>
      <c r="D129" s="16" t="str">
        <f>"李子琦"</f>
        <v>李子琦</v>
      </c>
      <c r="E129" s="19" t="str">
        <f>"郑州师范学院"</f>
        <v>郑州师范学院</v>
      </c>
      <c r="F129" s="18"/>
    </row>
    <row r="130" s="1" customFormat="1" ht="27" customHeight="1" spans="1:6">
      <c r="A130" s="16">
        <v>128</v>
      </c>
      <c r="B130" s="17" t="str">
        <f t="shared" si="17"/>
        <v>2008</v>
      </c>
      <c r="C130" s="18" t="s">
        <v>9</v>
      </c>
      <c r="D130" s="16" t="str">
        <f>"周肃霜"</f>
        <v>周肃霜</v>
      </c>
      <c r="E130" s="19" t="str">
        <f>"河南科技学院新科学院"</f>
        <v>河南科技学院新科学院</v>
      </c>
      <c r="F130" s="18"/>
    </row>
    <row r="131" s="2" customFormat="1" ht="27" customHeight="1" spans="1:6">
      <c r="A131" s="16">
        <v>129</v>
      </c>
      <c r="B131" s="16" t="str">
        <f t="shared" si="17"/>
        <v>2008</v>
      </c>
      <c r="C131" s="17" t="s">
        <v>9</v>
      </c>
      <c r="D131" s="16" t="str">
        <f>"牛晓宁"</f>
        <v>牛晓宁</v>
      </c>
      <c r="E131" s="20" t="str">
        <f>"商丘师范学院"</f>
        <v>商丘师范学院</v>
      </c>
      <c r="F131" s="17"/>
    </row>
    <row r="132" s="1" customFormat="1" ht="27" customHeight="1" spans="1:6">
      <c r="A132" s="16">
        <v>130</v>
      </c>
      <c r="B132" s="17" t="str">
        <f t="shared" ref="B132:B137" si="18">"2009"</f>
        <v>2009</v>
      </c>
      <c r="C132" s="18" t="s">
        <v>9</v>
      </c>
      <c r="D132" s="16" t="str">
        <f>"王子玮"</f>
        <v>王子玮</v>
      </c>
      <c r="E132" s="19" t="str">
        <f>"南阳师范学院"</f>
        <v>南阳师范学院</v>
      </c>
      <c r="F132" s="18"/>
    </row>
    <row r="133" s="1" customFormat="1" ht="27" customHeight="1" spans="1:6">
      <c r="A133" s="16">
        <v>131</v>
      </c>
      <c r="B133" s="17" t="str">
        <f t="shared" si="18"/>
        <v>2009</v>
      </c>
      <c r="C133" s="18" t="s">
        <v>9</v>
      </c>
      <c r="D133" s="16" t="str">
        <f>"贾珊珊"</f>
        <v>贾珊珊</v>
      </c>
      <c r="E133" s="19" t="str">
        <f>"南阳师范学院"</f>
        <v>南阳师范学院</v>
      </c>
      <c r="F133" s="18"/>
    </row>
    <row r="134" s="1" customFormat="1" ht="27" customHeight="1" spans="1:6">
      <c r="A134" s="16">
        <v>132</v>
      </c>
      <c r="B134" s="17" t="str">
        <f t="shared" si="18"/>
        <v>2009</v>
      </c>
      <c r="C134" s="18" t="s">
        <v>9</v>
      </c>
      <c r="D134" s="16" t="str">
        <f>"杨兵"</f>
        <v>杨兵</v>
      </c>
      <c r="E134" s="19" t="str">
        <f>"辽宁师范大学"</f>
        <v>辽宁师范大学</v>
      </c>
      <c r="F134" s="18"/>
    </row>
    <row r="135" s="1" customFormat="1" ht="27" customHeight="1" spans="1:6">
      <c r="A135" s="16">
        <v>133</v>
      </c>
      <c r="B135" s="17" t="str">
        <f t="shared" si="18"/>
        <v>2009</v>
      </c>
      <c r="C135" s="18" t="s">
        <v>9</v>
      </c>
      <c r="D135" s="16" t="str">
        <f>"张黎明"</f>
        <v>张黎明</v>
      </c>
      <c r="E135" s="19" t="str">
        <f>"北京服装学院"</f>
        <v>北京服装学院</v>
      </c>
      <c r="F135" s="18"/>
    </row>
    <row r="136" s="1" customFormat="1" ht="27" customHeight="1" spans="1:6">
      <c r="A136" s="16">
        <v>134</v>
      </c>
      <c r="B136" s="17" t="str">
        <f t="shared" si="18"/>
        <v>2009</v>
      </c>
      <c r="C136" s="18" t="s">
        <v>9</v>
      </c>
      <c r="D136" s="16" t="str">
        <f>"褚云燕"</f>
        <v>褚云燕</v>
      </c>
      <c r="E136" s="19" t="str">
        <f>"平顶山学院"</f>
        <v>平顶山学院</v>
      </c>
      <c r="F136" s="18"/>
    </row>
    <row r="137" s="1" customFormat="1" ht="27" customHeight="1" spans="1:6">
      <c r="A137" s="16">
        <v>135</v>
      </c>
      <c r="B137" s="17" t="str">
        <f t="shared" si="18"/>
        <v>2009</v>
      </c>
      <c r="C137" s="18" t="s">
        <v>9</v>
      </c>
      <c r="D137" s="16" t="str">
        <f>"李昭杰"</f>
        <v>李昭杰</v>
      </c>
      <c r="E137" s="19" t="str">
        <f>"平顶山学院"</f>
        <v>平顶山学院</v>
      </c>
      <c r="F137" s="18"/>
    </row>
    <row r="138" s="1" customFormat="1" ht="27" customHeight="1" spans="1:6">
      <c r="A138" s="16">
        <v>136</v>
      </c>
      <c r="B138" s="17" t="str">
        <f t="shared" ref="B138:B142" si="19">"2010"</f>
        <v>2010</v>
      </c>
      <c r="C138" s="18" t="s">
        <v>9</v>
      </c>
      <c r="D138" s="16" t="str">
        <f>"刘淼"</f>
        <v>刘淼</v>
      </c>
      <c r="E138" s="19" t="str">
        <f t="shared" ref="E138:E142" si="20">"南阳师范学院"</f>
        <v>南阳师范学院</v>
      </c>
      <c r="F138" s="18"/>
    </row>
    <row r="139" s="1" customFormat="1" ht="27" customHeight="1" spans="1:6">
      <c r="A139" s="16">
        <v>137</v>
      </c>
      <c r="B139" s="17" t="str">
        <f t="shared" si="19"/>
        <v>2010</v>
      </c>
      <c r="C139" s="18" t="s">
        <v>9</v>
      </c>
      <c r="D139" s="16" t="str">
        <f>"王栋"</f>
        <v>王栋</v>
      </c>
      <c r="E139" s="19" t="str">
        <f>"周口师范学院"</f>
        <v>周口师范学院</v>
      </c>
      <c r="F139" s="18"/>
    </row>
    <row r="140" s="1" customFormat="1" ht="27" customHeight="1" spans="1:6">
      <c r="A140" s="16">
        <v>138</v>
      </c>
      <c r="B140" s="17" t="str">
        <f t="shared" si="19"/>
        <v>2010</v>
      </c>
      <c r="C140" s="18" t="s">
        <v>9</v>
      </c>
      <c r="D140" s="16" t="str">
        <f>"狄士楠"</f>
        <v>狄士楠</v>
      </c>
      <c r="E140" s="19" t="str">
        <f t="shared" si="20"/>
        <v>南阳师范学院</v>
      </c>
      <c r="F140" s="18"/>
    </row>
    <row r="141" s="1" customFormat="1" ht="27" customHeight="1" spans="1:6">
      <c r="A141" s="16">
        <v>139</v>
      </c>
      <c r="B141" s="17" t="str">
        <f t="shared" si="19"/>
        <v>2010</v>
      </c>
      <c r="C141" s="18" t="s">
        <v>9</v>
      </c>
      <c r="D141" s="16" t="str">
        <f>"余阳"</f>
        <v>余阳</v>
      </c>
      <c r="E141" s="19" t="str">
        <f t="shared" si="20"/>
        <v>南阳师范学院</v>
      </c>
      <c r="F141" s="18"/>
    </row>
    <row r="142" s="1" customFormat="1" ht="27" customHeight="1" spans="1:6">
      <c r="A142" s="16">
        <v>140</v>
      </c>
      <c r="B142" s="17" t="str">
        <f t="shared" si="19"/>
        <v>2010</v>
      </c>
      <c r="C142" s="18" t="s">
        <v>9</v>
      </c>
      <c r="D142" s="16" t="str">
        <f>"崔欢欢"</f>
        <v>崔欢欢</v>
      </c>
      <c r="E142" s="19" t="str">
        <f t="shared" si="20"/>
        <v>南阳师范学院</v>
      </c>
      <c r="F142" s="18"/>
    </row>
    <row r="143" s="1" customFormat="1" ht="27" customHeight="1" spans="1:6">
      <c r="A143" s="16">
        <v>141</v>
      </c>
      <c r="B143" s="17" t="str">
        <f>"2011"</f>
        <v>2011</v>
      </c>
      <c r="C143" s="18" t="s">
        <v>9</v>
      </c>
      <c r="D143" s="16" t="str">
        <f>"陈焱慧"</f>
        <v>陈焱慧</v>
      </c>
      <c r="E143" s="19" t="str">
        <f>"新乡学院"</f>
        <v>新乡学院</v>
      </c>
      <c r="F143" s="18"/>
    </row>
    <row r="144" s="1" customFormat="1" ht="27" customHeight="1" spans="1:6">
      <c r="A144" s="16">
        <v>142</v>
      </c>
      <c r="B144" s="17" t="str">
        <f>"2011"</f>
        <v>2011</v>
      </c>
      <c r="C144" s="18" t="s">
        <v>9</v>
      </c>
      <c r="D144" s="16" t="str">
        <f>"王佳佳"</f>
        <v>王佳佳</v>
      </c>
      <c r="E144" s="19" t="str">
        <f>"南阳师范学院"</f>
        <v>南阳师范学院</v>
      </c>
      <c r="F144" s="18"/>
    </row>
    <row r="145" s="1" customFormat="1" ht="27" customHeight="1" spans="1:6">
      <c r="A145" s="16">
        <v>143</v>
      </c>
      <c r="B145" s="17" t="str">
        <f>"2012"</f>
        <v>2012</v>
      </c>
      <c r="C145" s="18" t="s">
        <v>9</v>
      </c>
      <c r="D145" s="16" t="str">
        <f>"杨欣"</f>
        <v>杨欣</v>
      </c>
      <c r="E145" s="19" t="str">
        <f>"渭南师范学院"</f>
        <v>渭南师范学院</v>
      </c>
      <c r="F145" s="18"/>
    </row>
    <row r="146" s="1" customFormat="1" ht="27" customHeight="1" spans="1:6">
      <c r="A146" s="16">
        <v>144</v>
      </c>
      <c r="B146" s="17" t="str">
        <f>"2012"</f>
        <v>2012</v>
      </c>
      <c r="C146" s="18" t="s">
        <v>9</v>
      </c>
      <c r="D146" s="16" t="str">
        <f>"张姣姣"</f>
        <v>张姣姣</v>
      </c>
      <c r="E146" s="19" t="str">
        <f>"信阳师范学院"</f>
        <v>信阳师范学院</v>
      </c>
      <c r="F146" s="18"/>
    </row>
    <row r="147" s="1" customFormat="1" ht="27" customHeight="1" spans="1:6">
      <c r="A147" s="16">
        <v>145</v>
      </c>
      <c r="B147" s="17" t="str">
        <f t="shared" ref="B147:B149" si="21">"2013"</f>
        <v>2013</v>
      </c>
      <c r="C147" s="18" t="s">
        <v>9</v>
      </c>
      <c r="D147" s="16" t="str">
        <f>"王森"</f>
        <v>王森</v>
      </c>
      <c r="E147" s="19" t="str">
        <f>"郑州轻工业学院"</f>
        <v>郑州轻工业学院</v>
      </c>
      <c r="F147" s="18"/>
    </row>
    <row r="148" s="1" customFormat="1" ht="27" customHeight="1" spans="1:6">
      <c r="A148" s="16">
        <v>146</v>
      </c>
      <c r="B148" s="17" t="str">
        <f t="shared" si="21"/>
        <v>2013</v>
      </c>
      <c r="C148" s="18" t="s">
        <v>9</v>
      </c>
      <c r="D148" s="16" t="str">
        <f>"谢藤"</f>
        <v>谢藤</v>
      </c>
      <c r="E148" s="19" t="str">
        <f>"河南师范大学新联学院"</f>
        <v>河南师范大学新联学院</v>
      </c>
      <c r="F148" s="18"/>
    </row>
    <row r="149" s="1" customFormat="1" ht="27" customHeight="1" spans="1:6">
      <c r="A149" s="16">
        <v>147</v>
      </c>
      <c r="B149" s="17" t="str">
        <f t="shared" si="21"/>
        <v>2013</v>
      </c>
      <c r="C149" s="18" t="s">
        <v>9</v>
      </c>
      <c r="D149" s="16" t="str">
        <f>"张娟"</f>
        <v>张娟</v>
      </c>
      <c r="E149" s="19" t="str">
        <f>"东北林业大学"</f>
        <v>东北林业大学</v>
      </c>
      <c r="F149" s="18"/>
    </row>
    <row r="150" s="1" customFormat="1" ht="27" customHeight="1" spans="1:6">
      <c r="A150" s="16">
        <v>148</v>
      </c>
      <c r="B150" s="17" t="str">
        <f t="shared" ref="B150:B155" si="22">"3001"</f>
        <v>3001</v>
      </c>
      <c r="C150" s="18" t="s">
        <v>10</v>
      </c>
      <c r="D150" s="16" t="str">
        <f>"乔露"</f>
        <v>乔露</v>
      </c>
      <c r="E150" s="19" t="str">
        <f>"郑州工商学院"</f>
        <v>郑州工商学院</v>
      </c>
      <c r="F150" s="18"/>
    </row>
    <row r="151" s="1" customFormat="1" ht="27" customHeight="1" spans="1:6">
      <c r="A151" s="16">
        <v>149</v>
      </c>
      <c r="B151" s="17" t="str">
        <f t="shared" si="22"/>
        <v>3001</v>
      </c>
      <c r="C151" s="18" t="s">
        <v>10</v>
      </c>
      <c r="D151" s="16" t="str">
        <f>"何一桓"</f>
        <v>何一桓</v>
      </c>
      <c r="E151" s="19" t="str">
        <f>"中原工学院信息商务学院"</f>
        <v>中原工学院信息商务学院</v>
      </c>
      <c r="F151" s="18"/>
    </row>
    <row r="152" s="1" customFormat="1" ht="27" customHeight="1" spans="1:6">
      <c r="A152" s="16">
        <v>150</v>
      </c>
      <c r="B152" s="17" t="str">
        <f t="shared" si="22"/>
        <v>3001</v>
      </c>
      <c r="C152" s="18" t="s">
        <v>10</v>
      </c>
      <c r="D152" s="16" t="str">
        <f>"郑弦"</f>
        <v>郑弦</v>
      </c>
      <c r="E152" s="19" t="str">
        <f>"河南牧业经济学院"</f>
        <v>河南牧业经济学院</v>
      </c>
      <c r="F152" s="18"/>
    </row>
    <row r="153" s="1" customFormat="1" ht="27" customHeight="1" spans="1:6">
      <c r="A153" s="16">
        <v>151</v>
      </c>
      <c r="B153" s="17" t="str">
        <f t="shared" si="22"/>
        <v>3001</v>
      </c>
      <c r="C153" s="18" t="s">
        <v>10</v>
      </c>
      <c r="D153" s="16" t="str">
        <f>"袁玥华"</f>
        <v>袁玥华</v>
      </c>
      <c r="E153" s="19" t="str">
        <f t="shared" ref="E153:E158" si="23">"河南师范大学"</f>
        <v>河南师范大学</v>
      </c>
      <c r="F153" s="18"/>
    </row>
    <row r="154" s="1" customFormat="1" ht="27" customHeight="1" spans="1:6">
      <c r="A154" s="16">
        <v>152</v>
      </c>
      <c r="B154" s="17" t="str">
        <f t="shared" si="22"/>
        <v>3001</v>
      </c>
      <c r="C154" s="18" t="s">
        <v>10</v>
      </c>
      <c r="D154" s="16" t="str">
        <f>"薛倪"</f>
        <v>薛倪</v>
      </c>
      <c r="E154" s="19" t="str">
        <f>"安阳工学院"</f>
        <v>安阳工学院</v>
      </c>
      <c r="F154" s="18"/>
    </row>
    <row r="155" s="1" customFormat="1" ht="27" customHeight="1" spans="1:6">
      <c r="A155" s="16">
        <v>153</v>
      </c>
      <c r="B155" s="17" t="str">
        <f t="shared" si="22"/>
        <v>3001</v>
      </c>
      <c r="C155" s="18" t="s">
        <v>10</v>
      </c>
      <c r="D155" s="16" t="str">
        <f>"张瑞敏"</f>
        <v>张瑞敏</v>
      </c>
      <c r="E155" s="19" t="str">
        <f>"南阳师范学院"</f>
        <v>南阳师范学院</v>
      </c>
      <c r="F155" s="18"/>
    </row>
    <row r="156" s="1" customFormat="1" ht="27" customHeight="1" spans="1:6">
      <c r="A156" s="16">
        <v>154</v>
      </c>
      <c r="B156" s="17" t="str">
        <f t="shared" ref="B156:B161" si="24">"3002"</f>
        <v>3002</v>
      </c>
      <c r="C156" s="18" t="s">
        <v>10</v>
      </c>
      <c r="D156" s="16" t="str">
        <f>"王姣姣"</f>
        <v>王姣姣</v>
      </c>
      <c r="E156" s="19" t="str">
        <f t="shared" si="23"/>
        <v>河南师范大学</v>
      </c>
      <c r="F156" s="18"/>
    </row>
    <row r="157" s="1" customFormat="1" ht="27" customHeight="1" spans="1:6">
      <c r="A157" s="16">
        <v>155</v>
      </c>
      <c r="B157" s="17" t="str">
        <f t="shared" si="24"/>
        <v>3002</v>
      </c>
      <c r="C157" s="18" t="s">
        <v>10</v>
      </c>
      <c r="D157" s="16" t="str">
        <f>"吴子靖"</f>
        <v>吴子靖</v>
      </c>
      <c r="E157" s="19" t="str">
        <f>"黄河科技学院"</f>
        <v>黄河科技学院</v>
      </c>
      <c r="F157" s="18"/>
    </row>
    <row r="158" s="1" customFormat="1" ht="27" customHeight="1" spans="1:6">
      <c r="A158" s="16">
        <v>156</v>
      </c>
      <c r="B158" s="17" t="str">
        <f t="shared" si="24"/>
        <v>3002</v>
      </c>
      <c r="C158" s="18" t="s">
        <v>10</v>
      </c>
      <c r="D158" s="16" t="str">
        <f>"司尚景"</f>
        <v>司尚景</v>
      </c>
      <c r="E158" s="19" t="str">
        <f t="shared" si="23"/>
        <v>河南师范大学</v>
      </c>
      <c r="F158" s="18"/>
    </row>
    <row r="159" s="1" customFormat="1" ht="27" customHeight="1" spans="1:6">
      <c r="A159" s="16">
        <v>157</v>
      </c>
      <c r="B159" s="17" t="str">
        <f t="shared" si="24"/>
        <v>3002</v>
      </c>
      <c r="C159" s="18" t="s">
        <v>10</v>
      </c>
      <c r="D159" s="16" t="str">
        <f>"谢琪玉"</f>
        <v>谢琪玉</v>
      </c>
      <c r="E159" s="19" t="str">
        <f>"南阳理工学院"</f>
        <v>南阳理工学院</v>
      </c>
      <c r="F159" s="18"/>
    </row>
    <row r="160" s="1" customFormat="1" ht="27" customHeight="1" spans="1:6">
      <c r="A160" s="16">
        <v>158</v>
      </c>
      <c r="B160" s="17" t="str">
        <f t="shared" si="24"/>
        <v>3002</v>
      </c>
      <c r="C160" s="18" t="s">
        <v>10</v>
      </c>
      <c r="D160" s="16" t="str">
        <f>"仵倩"</f>
        <v>仵倩</v>
      </c>
      <c r="E160" s="19" t="str">
        <f>"商丘师范学院"</f>
        <v>商丘师范学院</v>
      </c>
      <c r="F160" s="18"/>
    </row>
    <row r="161" s="1" customFormat="1" ht="27" customHeight="1" spans="1:6">
      <c r="A161" s="16">
        <v>159</v>
      </c>
      <c r="B161" s="17" t="str">
        <f t="shared" si="24"/>
        <v>3002</v>
      </c>
      <c r="C161" s="18" t="s">
        <v>10</v>
      </c>
      <c r="D161" s="16" t="str">
        <f>"张玉娥"</f>
        <v>张玉娥</v>
      </c>
      <c r="E161" s="19" t="str">
        <f>"南阳师范学院"</f>
        <v>南阳师范学院</v>
      </c>
      <c r="F161" s="18"/>
    </row>
    <row r="162" s="1" customFormat="1" ht="27" customHeight="1" spans="1:6">
      <c r="A162" s="16">
        <v>160</v>
      </c>
      <c r="B162" s="17" t="str">
        <f t="shared" ref="B162:B167" si="25">"3003"</f>
        <v>3003</v>
      </c>
      <c r="C162" s="18" t="s">
        <v>10</v>
      </c>
      <c r="D162" s="16" t="str">
        <f>"赵梦卓"</f>
        <v>赵梦卓</v>
      </c>
      <c r="E162" s="19" t="str">
        <f>"河南城建学院"</f>
        <v>河南城建学院</v>
      </c>
      <c r="F162" s="18"/>
    </row>
    <row r="163" s="1" customFormat="1" ht="27" customHeight="1" spans="1:6">
      <c r="A163" s="16">
        <v>161</v>
      </c>
      <c r="B163" s="17" t="str">
        <f t="shared" si="25"/>
        <v>3003</v>
      </c>
      <c r="C163" s="18" t="s">
        <v>10</v>
      </c>
      <c r="D163" s="16" t="str">
        <f>"许慧洋"</f>
        <v>许慧洋</v>
      </c>
      <c r="E163" s="19" t="str">
        <f>"郑州西亚斯学院"</f>
        <v>郑州西亚斯学院</v>
      </c>
      <c r="F163" s="18"/>
    </row>
    <row r="164" s="1" customFormat="1" ht="27" customHeight="1" spans="1:6">
      <c r="A164" s="16">
        <v>162</v>
      </c>
      <c r="B164" s="17" t="str">
        <f t="shared" si="25"/>
        <v>3003</v>
      </c>
      <c r="C164" s="18" t="s">
        <v>10</v>
      </c>
      <c r="D164" s="16" t="str">
        <f>"侯玉婷"</f>
        <v>侯玉婷</v>
      </c>
      <c r="E164" s="19" t="str">
        <f>"烟台大学"</f>
        <v>烟台大学</v>
      </c>
      <c r="F164" s="18"/>
    </row>
    <row r="165" s="1" customFormat="1" ht="27" customHeight="1" spans="1:6">
      <c r="A165" s="16">
        <v>163</v>
      </c>
      <c r="B165" s="17" t="str">
        <f t="shared" si="25"/>
        <v>3003</v>
      </c>
      <c r="C165" s="18" t="s">
        <v>10</v>
      </c>
      <c r="D165" s="16" t="str">
        <f>"张琳丛"</f>
        <v>张琳丛</v>
      </c>
      <c r="E165" s="19" t="str">
        <f>"洛阳师范学院"</f>
        <v>洛阳师范学院</v>
      </c>
      <c r="F165" s="18"/>
    </row>
    <row r="166" s="1" customFormat="1" ht="27" customHeight="1" spans="1:6">
      <c r="A166" s="16">
        <v>164</v>
      </c>
      <c r="B166" s="17" t="str">
        <f t="shared" si="25"/>
        <v>3003</v>
      </c>
      <c r="C166" s="18" t="s">
        <v>10</v>
      </c>
      <c r="D166" s="16" t="str">
        <f>"司宇鹏"</f>
        <v>司宇鹏</v>
      </c>
      <c r="E166" s="19" t="str">
        <f>"新乡学院"</f>
        <v>新乡学院</v>
      </c>
      <c r="F166" s="18"/>
    </row>
    <row r="167" s="1" customFormat="1" ht="27" customHeight="1" spans="1:6">
      <c r="A167" s="16">
        <v>165</v>
      </c>
      <c r="B167" s="17" t="str">
        <f t="shared" si="25"/>
        <v>3003</v>
      </c>
      <c r="C167" s="18" t="s">
        <v>10</v>
      </c>
      <c r="D167" s="16" t="str">
        <f>"唐雪梅"</f>
        <v>唐雪梅</v>
      </c>
      <c r="E167" s="19" t="str">
        <f>"郑州升达经贸管理学院"</f>
        <v>郑州升达经贸管理学院</v>
      </c>
      <c r="F167" s="18"/>
    </row>
    <row r="168" s="1" customFormat="1" ht="27" customHeight="1" spans="1:6">
      <c r="A168" s="16">
        <v>166</v>
      </c>
      <c r="B168" s="17" t="str">
        <f t="shared" ref="B168:B173" si="26">"3004"</f>
        <v>3004</v>
      </c>
      <c r="C168" s="18" t="s">
        <v>10</v>
      </c>
      <c r="D168" s="16" t="str">
        <f>"许梦园"</f>
        <v>许梦园</v>
      </c>
      <c r="E168" s="19" t="str">
        <f>"西北师范大学"</f>
        <v>西北师范大学</v>
      </c>
      <c r="F168" s="18"/>
    </row>
    <row r="169" s="1" customFormat="1" ht="27" customHeight="1" spans="1:6">
      <c r="A169" s="16">
        <v>167</v>
      </c>
      <c r="B169" s="17" t="str">
        <f t="shared" si="26"/>
        <v>3004</v>
      </c>
      <c r="C169" s="18" t="s">
        <v>10</v>
      </c>
      <c r="D169" s="16" t="str">
        <f>"李欢"</f>
        <v>李欢</v>
      </c>
      <c r="E169" s="19" t="str">
        <f>"安阳师范学院人文管理学院"</f>
        <v>安阳师范学院人文管理学院</v>
      </c>
      <c r="F169" s="18"/>
    </row>
    <row r="170" s="1" customFormat="1" ht="27" customHeight="1" spans="1:6">
      <c r="A170" s="16">
        <v>168</v>
      </c>
      <c r="B170" s="17" t="str">
        <f t="shared" si="26"/>
        <v>3004</v>
      </c>
      <c r="C170" s="18" t="s">
        <v>10</v>
      </c>
      <c r="D170" s="16" t="str">
        <f>"张薇"</f>
        <v>张薇</v>
      </c>
      <c r="E170" s="19" t="str">
        <f>"河南师范大学"</f>
        <v>河南师范大学</v>
      </c>
      <c r="F170" s="18"/>
    </row>
    <row r="171" s="1" customFormat="1" ht="27" customHeight="1" spans="1:6">
      <c r="A171" s="16">
        <v>169</v>
      </c>
      <c r="B171" s="17" t="str">
        <f t="shared" si="26"/>
        <v>3004</v>
      </c>
      <c r="C171" s="18" t="s">
        <v>10</v>
      </c>
      <c r="D171" s="16" t="str">
        <f>"库满"</f>
        <v>库满</v>
      </c>
      <c r="E171" s="19" t="str">
        <f>"上海师范大学"</f>
        <v>上海师范大学</v>
      </c>
      <c r="F171" s="18"/>
    </row>
    <row r="172" s="1" customFormat="1" ht="27" customHeight="1" spans="1:6">
      <c r="A172" s="16">
        <v>170</v>
      </c>
      <c r="B172" s="17" t="str">
        <f t="shared" si="26"/>
        <v>3004</v>
      </c>
      <c r="C172" s="18" t="s">
        <v>10</v>
      </c>
      <c r="D172" s="16" t="str">
        <f>"赵雪航"</f>
        <v>赵雪航</v>
      </c>
      <c r="E172" s="19" t="str">
        <f>"山西农业大学"</f>
        <v>山西农业大学</v>
      </c>
      <c r="F172" s="18"/>
    </row>
    <row r="173" s="1" customFormat="1" ht="27" customHeight="1" spans="1:6">
      <c r="A173" s="16">
        <v>171</v>
      </c>
      <c r="B173" s="17" t="str">
        <f t="shared" si="26"/>
        <v>3004</v>
      </c>
      <c r="C173" s="18" t="s">
        <v>10</v>
      </c>
      <c r="D173" s="16" t="str">
        <f>"胡玉璞"</f>
        <v>胡玉璞</v>
      </c>
      <c r="E173" s="19" t="str">
        <f>"河南科技大学"</f>
        <v>河南科技大学</v>
      </c>
      <c r="F173" s="18"/>
    </row>
    <row r="174" s="1" customFormat="1" ht="27" customHeight="1" spans="1:6">
      <c r="A174" s="16">
        <v>172</v>
      </c>
      <c r="B174" s="17" t="str">
        <f t="shared" ref="B174:B178" si="27">"3005"</f>
        <v>3005</v>
      </c>
      <c r="C174" s="18" t="s">
        <v>10</v>
      </c>
      <c r="D174" s="16" t="str">
        <f>"冯一鸣"</f>
        <v>冯一鸣</v>
      </c>
      <c r="E174" s="19" t="str">
        <f>"内蒙古民族大学"</f>
        <v>内蒙古民族大学</v>
      </c>
      <c r="F174" s="18"/>
    </row>
    <row r="175" s="1" customFormat="1" ht="27" customHeight="1" spans="1:6">
      <c r="A175" s="16">
        <v>173</v>
      </c>
      <c r="B175" s="17" t="str">
        <f t="shared" si="27"/>
        <v>3005</v>
      </c>
      <c r="C175" s="18" t="s">
        <v>10</v>
      </c>
      <c r="D175" s="16" t="str">
        <f>"张晗"</f>
        <v>张晗</v>
      </c>
      <c r="E175" s="19" t="str">
        <f>"吉林师范大学"</f>
        <v>吉林师范大学</v>
      </c>
      <c r="F175" s="18"/>
    </row>
    <row r="176" s="1" customFormat="1" ht="27" customHeight="1" spans="1:6">
      <c r="A176" s="16">
        <v>174</v>
      </c>
      <c r="B176" s="17" t="str">
        <f t="shared" si="27"/>
        <v>3005</v>
      </c>
      <c r="C176" s="18" t="s">
        <v>10</v>
      </c>
      <c r="D176" s="16" t="str">
        <f>"姚伟丽"</f>
        <v>姚伟丽</v>
      </c>
      <c r="E176" s="19" t="str">
        <f>"黄河科技学院"</f>
        <v>黄河科技学院</v>
      </c>
      <c r="F176" s="18"/>
    </row>
    <row r="177" s="1" customFormat="1" ht="27" customHeight="1" spans="1:6">
      <c r="A177" s="16">
        <v>175</v>
      </c>
      <c r="B177" s="17" t="str">
        <f t="shared" si="27"/>
        <v>3005</v>
      </c>
      <c r="C177" s="18" t="s">
        <v>10</v>
      </c>
      <c r="D177" s="16" t="str">
        <f>"彭飞立"</f>
        <v>彭飞立</v>
      </c>
      <c r="E177" s="19" t="str">
        <f>"河南财政金融学院"</f>
        <v>河南财政金融学院</v>
      </c>
      <c r="F177" s="18"/>
    </row>
    <row r="178" s="1" customFormat="1" ht="27" customHeight="1" spans="1:6">
      <c r="A178" s="16">
        <v>176</v>
      </c>
      <c r="B178" s="17" t="str">
        <f t="shared" si="27"/>
        <v>3005</v>
      </c>
      <c r="C178" s="18" t="s">
        <v>10</v>
      </c>
      <c r="D178" s="16" t="str">
        <f>"刘灿"</f>
        <v>刘灿</v>
      </c>
      <c r="E178" s="19" t="str">
        <f>"河南师范大学"</f>
        <v>河南师范大学</v>
      </c>
      <c r="F178" s="18"/>
    </row>
    <row r="179" s="1" customFormat="1" ht="27" customHeight="1" spans="1:6">
      <c r="A179" s="16">
        <v>177</v>
      </c>
      <c r="B179" s="17" t="str">
        <f t="shared" ref="B179:B183" si="28">"3006"</f>
        <v>3006</v>
      </c>
      <c r="C179" s="18" t="s">
        <v>10</v>
      </c>
      <c r="D179" s="16" t="str">
        <f>"王安妮"</f>
        <v>王安妮</v>
      </c>
      <c r="E179" s="19" t="str">
        <f>"安阳师范学院"</f>
        <v>安阳师范学院</v>
      </c>
      <c r="F179" s="18"/>
    </row>
    <row r="180" s="1" customFormat="1" ht="27" customHeight="1" spans="1:6">
      <c r="A180" s="16">
        <v>178</v>
      </c>
      <c r="B180" s="17" t="str">
        <f t="shared" si="28"/>
        <v>3006</v>
      </c>
      <c r="C180" s="18" t="s">
        <v>10</v>
      </c>
      <c r="D180" s="16" t="str">
        <f>"丁姗姗"</f>
        <v>丁姗姗</v>
      </c>
      <c r="E180" s="19" t="str">
        <f>"商丘学院"</f>
        <v>商丘学院</v>
      </c>
      <c r="F180" s="18"/>
    </row>
    <row r="181" s="1" customFormat="1" ht="27" customHeight="1" spans="1:6">
      <c r="A181" s="16">
        <v>179</v>
      </c>
      <c r="B181" s="17" t="str">
        <f t="shared" si="28"/>
        <v>3006</v>
      </c>
      <c r="C181" s="18" t="s">
        <v>10</v>
      </c>
      <c r="D181" s="16" t="str">
        <f>"侯满"</f>
        <v>侯满</v>
      </c>
      <c r="E181" s="19" t="str">
        <f>"河南农业大学"</f>
        <v>河南农业大学</v>
      </c>
      <c r="F181" s="18"/>
    </row>
    <row r="182" s="1" customFormat="1" ht="27" customHeight="1" spans="1:6">
      <c r="A182" s="16">
        <v>180</v>
      </c>
      <c r="B182" s="17" t="str">
        <f t="shared" si="28"/>
        <v>3006</v>
      </c>
      <c r="C182" s="18" t="s">
        <v>10</v>
      </c>
      <c r="D182" s="16" t="str">
        <f>"黄小莹"</f>
        <v>黄小莹</v>
      </c>
      <c r="E182" s="19" t="str">
        <f>"山东农业大学"</f>
        <v>山东农业大学</v>
      </c>
      <c r="F182" s="18"/>
    </row>
    <row r="183" s="1" customFormat="1" ht="27" customHeight="1" spans="1:6">
      <c r="A183" s="16">
        <v>181</v>
      </c>
      <c r="B183" s="17" t="str">
        <f t="shared" si="28"/>
        <v>3006</v>
      </c>
      <c r="C183" s="18" t="s">
        <v>10</v>
      </c>
      <c r="D183" s="16" t="str">
        <f>"梁雪琴"</f>
        <v>梁雪琴</v>
      </c>
      <c r="E183" s="19" t="str">
        <f>"南阳理工学院"</f>
        <v>南阳理工学院</v>
      </c>
      <c r="F183" s="18"/>
    </row>
    <row r="184" s="1" customFormat="1" ht="27" customHeight="1" spans="1:6">
      <c r="A184" s="16">
        <v>182</v>
      </c>
      <c r="B184" s="17" t="str">
        <f t="shared" ref="B184:B188" si="29">"3007"</f>
        <v>3007</v>
      </c>
      <c r="C184" s="18" t="s">
        <v>10</v>
      </c>
      <c r="D184" s="16" t="str">
        <f>"肖雪"</f>
        <v>肖雪</v>
      </c>
      <c r="E184" s="19" t="str">
        <f>"洛阳师范学院"</f>
        <v>洛阳师范学院</v>
      </c>
      <c r="F184" s="18"/>
    </row>
    <row r="185" s="1" customFormat="1" ht="27" customHeight="1" spans="1:6">
      <c r="A185" s="16">
        <v>183</v>
      </c>
      <c r="B185" s="17" t="str">
        <f t="shared" si="29"/>
        <v>3007</v>
      </c>
      <c r="C185" s="18" t="s">
        <v>10</v>
      </c>
      <c r="D185" s="16" t="str">
        <f>"王雯"</f>
        <v>王雯</v>
      </c>
      <c r="E185" s="19" t="str">
        <f>"南阳理工学院"</f>
        <v>南阳理工学院</v>
      </c>
      <c r="F185" s="18"/>
    </row>
    <row r="186" s="1" customFormat="1" ht="27" customHeight="1" spans="1:6">
      <c r="A186" s="16">
        <v>184</v>
      </c>
      <c r="B186" s="17" t="str">
        <f t="shared" si="29"/>
        <v>3007</v>
      </c>
      <c r="C186" s="18" t="s">
        <v>10</v>
      </c>
      <c r="D186" s="16" t="str">
        <f>"杜春雨"</f>
        <v>杜春雨</v>
      </c>
      <c r="E186" s="19" t="str">
        <f>"河南理工大学万方科技学院"</f>
        <v>河南理工大学万方科技学院</v>
      </c>
      <c r="F186" s="18"/>
    </row>
    <row r="187" s="1" customFormat="1" ht="27" customHeight="1" spans="1:6">
      <c r="A187" s="16">
        <v>185</v>
      </c>
      <c r="B187" s="17" t="str">
        <f t="shared" si="29"/>
        <v>3007</v>
      </c>
      <c r="C187" s="18" t="s">
        <v>10</v>
      </c>
      <c r="D187" s="16" t="str">
        <f>"彭乃珂"</f>
        <v>彭乃珂</v>
      </c>
      <c r="E187" s="19" t="str">
        <f>"周口师范学院"</f>
        <v>周口师范学院</v>
      </c>
      <c r="F187" s="18"/>
    </row>
    <row r="188" s="1" customFormat="1" ht="27" customHeight="1" spans="1:6">
      <c r="A188" s="16">
        <v>186</v>
      </c>
      <c r="B188" s="17" t="str">
        <f t="shared" si="29"/>
        <v>3007</v>
      </c>
      <c r="C188" s="18" t="s">
        <v>10</v>
      </c>
      <c r="D188" s="16" t="str">
        <f>"张可鑫"</f>
        <v>张可鑫</v>
      </c>
      <c r="E188" s="19" t="str">
        <f>"郑州科技学院"</f>
        <v>郑州科技学院</v>
      </c>
      <c r="F188" s="18"/>
    </row>
    <row r="189" s="1" customFormat="1" ht="27" customHeight="1" spans="1:6">
      <c r="A189" s="16">
        <v>187</v>
      </c>
      <c r="B189" s="17" t="str">
        <f t="shared" ref="B189:B193" si="30">"3008"</f>
        <v>3008</v>
      </c>
      <c r="C189" s="18" t="s">
        <v>10</v>
      </c>
      <c r="D189" s="16" t="str">
        <f>"丰璟"</f>
        <v>丰璟</v>
      </c>
      <c r="E189" s="19" t="str">
        <f>"河南农业大学"</f>
        <v>河南农业大学</v>
      </c>
      <c r="F189" s="18"/>
    </row>
    <row r="190" s="1" customFormat="1" ht="27" customHeight="1" spans="1:6">
      <c r="A190" s="16">
        <v>188</v>
      </c>
      <c r="B190" s="17" t="str">
        <f t="shared" si="30"/>
        <v>3008</v>
      </c>
      <c r="C190" s="18" t="s">
        <v>10</v>
      </c>
      <c r="D190" s="16" t="str">
        <f>"韩洋"</f>
        <v>韩洋</v>
      </c>
      <c r="E190" s="19" t="str">
        <f>"洛阳师范学院"</f>
        <v>洛阳师范学院</v>
      </c>
      <c r="F190" s="18"/>
    </row>
    <row r="191" s="1" customFormat="1" ht="27" customHeight="1" spans="1:6">
      <c r="A191" s="16">
        <v>189</v>
      </c>
      <c r="B191" s="17" t="str">
        <f t="shared" si="30"/>
        <v>3008</v>
      </c>
      <c r="C191" s="18" t="s">
        <v>10</v>
      </c>
      <c r="D191" s="16" t="str">
        <f>"胡娟"</f>
        <v>胡娟</v>
      </c>
      <c r="E191" s="19" t="str">
        <f>"郑州科技学院"</f>
        <v>郑州科技学院</v>
      </c>
      <c r="F191" s="18"/>
    </row>
    <row r="192" s="1" customFormat="1" ht="27" customHeight="1" spans="1:6">
      <c r="A192" s="16">
        <v>190</v>
      </c>
      <c r="B192" s="17" t="str">
        <f t="shared" si="30"/>
        <v>3008</v>
      </c>
      <c r="C192" s="18" t="s">
        <v>10</v>
      </c>
      <c r="D192" s="16" t="str">
        <f>"刘迎"</f>
        <v>刘迎</v>
      </c>
      <c r="E192" s="19" t="str">
        <f>"平顶山学院"</f>
        <v>平顶山学院</v>
      </c>
      <c r="F192" s="18"/>
    </row>
    <row r="193" s="1" customFormat="1" ht="27" customHeight="1" spans="1:6">
      <c r="A193" s="16">
        <v>191</v>
      </c>
      <c r="B193" s="17" t="str">
        <f t="shared" si="30"/>
        <v>3008</v>
      </c>
      <c r="C193" s="18" t="s">
        <v>10</v>
      </c>
      <c r="D193" s="16" t="str">
        <f>"张雅兰"</f>
        <v>张雅兰</v>
      </c>
      <c r="E193" s="19" t="str">
        <f>"安阳师范学院人文管理学院"</f>
        <v>安阳师范学院人文管理学院</v>
      </c>
      <c r="F193" s="18"/>
    </row>
    <row r="194" s="1" customFormat="1" ht="27" customHeight="1" spans="1:6">
      <c r="A194" s="16">
        <v>192</v>
      </c>
      <c r="B194" s="17" t="str">
        <f>"3009"</f>
        <v>3009</v>
      </c>
      <c r="C194" s="18" t="s">
        <v>10</v>
      </c>
      <c r="D194" s="16" t="str">
        <f>"杨小垒"</f>
        <v>杨小垒</v>
      </c>
      <c r="E194" s="19" t="str">
        <f>"华北水利水电大学"</f>
        <v>华北水利水电大学</v>
      </c>
      <c r="F194" s="18"/>
    </row>
    <row r="195" s="1" customFormat="1" ht="27" customHeight="1" spans="1:6">
      <c r="A195" s="16">
        <v>193</v>
      </c>
      <c r="B195" s="17" t="str">
        <f>"3009"</f>
        <v>3009</v>
      </c>
      <c r="C195" s="18" t="s">
        <v>10</v>
      </c>
      <c r="D195" s="16" t="str">
        <f>"王林楠"</f>
        <v>王林楠</v>
      </c>
      <c r="E195" s="19" t="str">
        <f>"河南大学民生学院"</f>
        <v>河南大学民生学院</v>
      </c>
      <c r="F195" s="18"/>
    </row>
    <row r="196" s="1" customFormat="1" ht="27" customHeight="1" spans="1:6">
      <c r="A196" s="16">
        <v>194</v>
      </c>
      <c r="B196" s="17" t="str">
        <f>"3009"</f>
        <v>3009</v>
      </c>
      <c r="C196" s="18" t="s">
        <v>10</v>
      </c>
      <c r="D196" s="16" t="str">
        <f>"宋冰鑫"</f>
        <v>宋冰鑫</v>
      </c>
      <c r="E196" s="19" t="str">
        <f>"新乡学院"</f>
        <v>新乡学院</v>
      </c>
      <c r="F196" s="18"/>
    </row>
    <row r="197" s="1" customFormat="1" ht="27" customHeight="1" spans="1:6">
      <c r="A197" s="16">
        <v>195</v>
      </c>
      <c r="B197" s="17" t="str">
        <f>"3009"</f>
        <v>3009</v>
      </c>
      <c r="C197" s="18" t="s">
        <v>10</v>
      </c>
      <c r="D197" s="16" t="str">
        <f>"马海华"</f>
        <v>马海华</v>
      </c>
      <c r="E197" s="19" t="str">
        <f>"河南财经政法大学"</f>
        <v>河南财经政法大学</v>
      </c>
      <c r="F197" s="18"/>
    </row>
    <row r="198" s="2" customFormat="1" ht="27" customHeight="1" spans="1:6">
      <c r="A198" s="16">
        <v>196</v>
      </c>
      <c r="B198" s="16" t="str">
        <f>"3009"</f>
        <v>3009</v>
      </c>
      <c r="C198" s="16" t="s">
        <v>10</v>
      </c>
      <c r="D198" s="16" t="str">
        <f>"闫飞飞"</f>
        <v>闫飞飞</v>
      </c>
      <c r="E198" s="20" t="str">
        <f>"平顶山学院"</f>
        <v>平顶山学院</v>
      </c>
      <c r="F198" s="17"/>
    </row>
    <row r="199" s="1" customFormat="1" ht="27" customHeight="1" spans="1:6">
      <c r="A199" s="16">
        <v>197</v>
      </c>
      <c r="B199" s="17" t="str">
        <f>"3010"</f>
        <v>3010</v>
      </c>
      <c r="C199" s="18" t="s">
        <v>10</v>
      </c>
      <c r="D199" s="16" t="str">
        <f>"张洁"</f>
        <v>张洁</v>
      </c>
      <c r="E199" s="19" t="str">
        <f>"河南科技学院"</f>
        <v>河南科技学院</v>
      </c>
      <c r="F199" s="18"/>
    </row>
    <row r="200" s="1" customFormat="1" ht="27" customHeight="1" spans="1:6">
      <c r="A200" s="16">
        <v>198</v>
      </c>
      <c r="B200" s="17" t="str">
        <f>"3010"</f>
        <v>3010</v>
      </c>
      <c r="C200" s="18" t="s">
        <v>10</v>
      </c>
      <c r="D200" s="16" t="str">
        <f>"郭一俭"</f>
        <v>郭一俭</v>
      </c>
      <c r="E200" s="19" t="str">
        <f>"南阳师范学院"</f>
        <v>南阳师范学院</v>
      </c>
      <c r="F200" s="18"/>
    </row>
    <row r="201" s="1" customFormat="1" ht="27" customHeight="1" spans="1:6">
      <c r="A201" s="16">
        <v>199</v>
      </c>
      <c r="B201" s="17" t="str">
        <f>"3010"</f>
        <v>3010</v>
      </c>
      <c r="C201" s="18" t="s">
        <v>10</v>
      </c>
      <c r="D201" s="16" t="str">
        <f>"李帅"</f>
        <v>李帅</v>
      </c>
      <c r="E201" s="19" t="str">
        <f>"南阳师范学院"</f>
        <v>南阳师范学院</v>
      </c>
      <c r="F201" s="18"/>
    </row>
    <row r="202" s="1" customFormat="1" ht="27" customHeight="1" spans="1:6">
      <c r="A202" s="16">
        <v>200</v>
      </c>
      <c r="B202" s="17" t="str">
        <f>"3010"</f>
        <v>3010</v>
      </c>
      <c r="C202" s="18" t="s">
        <v>10</v>
      </c>
      <c r="D202" s="16" t="str">
        <f>"梁富权"</f>
        <v>梁富权</v>
      </c>
      <c r="E202" s="19" t="str">
        <f>"郑州大学"</f>
        <v>郑州大学</v>
      </c>
      <c r="F202" s="18"/>
    </row>
    <row r="203" s="1" customFormat="1" ht="27" customHeight="1" spans="1:6">
      <c r="A203" s="16">
        <v>201</v>
      </c>
      <c r="B203" s="17" t="str">
        <f>"3010"</f>
        <v>3010</v>
      </c>
      <c r="C203" s="17" t="s">
        <v>10</v>
      </c>
      <c r="D203" s="16" t="str">
        <f>"周苗苗"</f>
        <v>周苗苗</v>
      </c>
      <c r="E203" s="20" t="str">
        <f>"新乡学院"</f>
        <v>新乡学院</v>
      </c>
      <c r="F203" s="17"/>
    </row>
    <row r="204" s="1" customFormat="1" ht="27" customHeight="1" spans="1:6">
      <c r="A204" s="16">
        <v>202</v>
      </c>
      <c r="B204" s="17" t="str">
        <f>"3011"</f>
        <v>3011</v>
      </c>
      <c r="C204" s="18" t="s">
        <v>10</v>
      </c>
      <c r="D204" s="16" t="str">
        <f>"包建璞"</f>
        <v>包建璞</v>
      </c>
      <c r="E204" s="19" t="str">
        <f>"河北传媒学院"</f>
        <v>河北传媒学院</v>
      </c>
      <c r="F204" s="18"/>
    </row>
    <row r="205" s="1" customFormat="1" ht="27" customHeight="1" spans="1:6">
      <c r="A205" s="16">
        <v>203</v>
      </c>
      <c r="B205" s="17" t="str">
        <f>"3011"</f>
        <v>3011</v>
      </c>
      <c r="C205" s="18" t="s">
        <v>10</v>
      </c>
      <c r="D205" s="16" t="str">
        <f>"邹新月"</f>
        <v>邹新月</v>
      </c>
      <c r="E205" s="19" t="str">
        <f>"商丘师范学院"</f>
        <v>商丘师范学院</v>
      </c>
      <c r="F205" s="18"/>
    </row>
    <row r="206" s="2" customFormat="1" ht="27" customHeight="1" spans="1:6">
      <c r="A206" s="16">
        <v>204</v>
      </c>
      <c r="B206" s="17" t="str">
        <f>"3011"</f>
        <v>3011</v>
      </c>
      <c r="C206" s="17" t="s">
        <v>10</v>
      </c>
      <c r="D206" s="16" t="str">
        <f>"张影丽"</f>
        <v>张影丽</v>
      </c>
      <c r="E206" s="20" t="str">
        <f>"黄淮学院"</f>
        <v>黄淮学院</v>
      </c>
      <c r="F206" s="17"/>
    </row>
    <row r="207" s="1" customFormat="1" ht="27" customHeight="1" spans="1:6">
      <c r="A207" s="16">
        <v>205</v>
      </c>
      <c r="B207" s="17" t="str">
        <f t="shared" ref="B207:B209" si="31">"3012"</f>
        <v>3012</v>
      </c>
      <c r="C207" s="18" t="s">
        <v>10</v>
      </c>
      <c r="D207" s="16" t="str">
        <f>"刘依佳"</f>
        <v>刘依佳</v>
      </c>
      <c r="E207" s="19" t="str">
        <f>"青海师范大学"</f>
        <v>青海师范大学</v>
      </c>
      <c r="F207" s="18"/>
    </row>
    <row r="208" s="1" customFormat="1" ht="27" customHeight="1" spans="1:6">
      <c r="A208" s="16">
        <v>206</v>
      </c>
      <c r="B208" s="17" t="str">
        <f t="shared" si="31"/>
        <v>3012</v>
      </c>
      <c r="C208" s="18" t="s">
        <v>10</v>
      </c>
      <c r="D208" s="16" t="str">
        <f>"刘桐"</f>
        <v>刘桐</v>
      </c>
      <c r="E208" s="19" t="str">
        <f>"郑州科技学院"</f>
        <v>郑州科技学院</v>
      </c>
      <c r="F208" s="18"/>
    </row>
    <row r="209" s="1" customFormat="1" ht="27" customHeight="1" spans="1:6">
      <c r="A209" s="16">
        <v>207</v>
      </c>
      <c r="B209" s="17" t="str">
        <f t="shared" si="31"/>
        <v>3012</v>
      </c>
      <c r="C209" s="18" t="s">
        <v>10</v>
      </c>
      <c r="D209" s="16" t="str">
        <f>"鲁曼曼"</f>
        <v>鲁曼曼</v>
      </c>
      <c r="E209" s="19" t="str">
        <f>"河南牧业经济学院"</f>
        <v>河南牧业经济学院</v>
      </c>
      <c r="F209" s="18"/>
    </row>
    <row r="210" s="1" customFormat="1" ht="27" customHeight="1" spans="1:6">
      <c r="A210" s="16">
        <v>208</v>
      </c>
      <c r="B210" s="17" t="str">
        <f>"4001"</f>
        <v>4001</v>
      </c>
      <c r="C210" s="18" t="s">
        <v>11</v>
      </c>
      <c r="D210" s="16" t="str">
        <f>"刘亭"</f>
        <v>刘亭</v>
      </c>
      <c r="E210" s="19" t="str">
        <f>"南阳师范学院 "</f>
        <v>南阳师范学院 </v>
      </c>
      <c r="F210" s="18"/>
    </row>
    <row r="211" s="1" customFormat="1" ht="27" customHeight="1" spans="1:6">
      <c r="A211" s="16">
        <v>209</v>
      </c>
      <c r="B211" s="17" t="str">
        <f>"4001"</f>
        <v>4001</v>
      </c>
      <c r="C211" s="18" t="s">
        <v>11</v>
      </c>
      <c r="D211" s="16" t="str">
        <f>"来克铅"</f>
        <v>来克铅</v>
      </c>
      <c r="E211" s="19" t="str">
        <f>"南阳师范学院"</f>
        <v>南阳师范学院</v>
      </c>
      <c r="F211" s="18"/>
    </row>
    <row r="212" s="1" customFormat="1" ht="27" customHeight="1" spans="1:6">
      <c r="A212" s="16">
        <v>210</v>
      </c>
      <c r="B212" s="17" t="str">
        <f>"4002"</f>
        <v>4002</v>
      </c>
      <c r="C212" s="18" t="s">
        <v>11</v>
      </c>
      <c r="D212" s="16" t="str">
        <f>"王景瑞"</f>
        <v>王景瑞</v>
      </c>
      <c r="E212" s="19" t="str">
        <f>"河南工程学院"</f>
        <v>河南工程学院</v>
      </c>
      <c r="F212" s="18"/>
    </row>
    <row r="213" s="1" customFormat="1" ht="27" customHeight="1" spans="1:6">
      <c r="A213" s="16">
        <v>211</v>
      </c>
      <c r="B213" s="17" t="str">
        <f>"4002"</f>
        <v>4002</v>
      </c>
      <c r="C213" s="18" t="s">
        <v>11</v>
      </c>
      <c r="D213" s="16" t="str">
        <f>"马晴"</f>
        <v>马晴</v>
      </c>
      <c r="E213" s="19" t="str">
        <f>"陕西科技大学镐京学院"</f>
        <v>陕西科技大学镐京学院</v>
      </c>
      <c r="F213" s="18"/>
    </row>
    <row r="214" s="1" customFormat="1" ht="27" customHeight="1" spans="1:6">
      <c r="A214" s="16">
        <v>212</v>
      </c>
      <c r="B214" s="17" t="str">
        <f>"4003"</f>
        <v>4003</v>
      </c>
      <c r="C214" s="18" t="s">
        <v>11</v>
      </c>
      <c r="D214" s="16" t="str">
        <f>"孟聪聪"</f>
        <v>孟聪聪</v>
      </c>
      <c r="E214" s="19" t="str">
        <f>"河南大学民生学院"</f>
        <v>河南大学民生学院</v>
      </c>
      <c r="F214" s="18"/>
    </row>
    <row r="215" s="1" customFormat="1" ht="27" customHeight="1" spans="1:6">
      <c r="A215" s="16">
        <v>213</v>
      </c>
      <c r="B215" s="17" t="str">
        <f>"4003"</f>
        <v>4003</v>
      </c>
      <c r="C215" s="18" t="s">
        <v>11</v>
      </c>
      <c r="D215" s="16" t="str">
        <f>"张楚莹"</f>
        <v>张楚莹</v>
      </c>
      <c r="E215" s="19" t="str">
        <f>"河南大学"</f>
        <v>河南大学</v>
      </c>
      <c r="F215" s="18"/>
    </row>
    <row r="216" s="2" customFormat="1" ht="27" customHeight="1" spans="1:6">
      <c r="A216" s="16">
        <v>214</v>
      </c>
      <c r="B216" s="16" t="str">
        <f>"4004"</f>
        <v>4004</v>
      </c>
      <c r="C216" s="17" t="s">
        <v>11</v>
      </c>
      <c r="D216" s="16" t="str">
        <f>"张楠楠"</f>
        <v>张楠楠</v>
      </c>
      <c r="E216" s="20" t="str">
        <f>"青海大学"</f>
        <v>青海大学</v>
      </c>
      <c r="F216" s="17"/>
    </row>
    <row r="217" s="2" customFormat="1" ht="27" customHeight="1" spans="1:6">
      <c r="A217" s="16">
        <v>215</v>
      </c>
      <c r="B217" s="17" t="str">
        <f>"4004"</f>
        <v>4004</v>
      </c>
      <c r="C217" s="17" t="s">
        <v>11</v>
      </c>
      <c r="D217" s="16" t="str">
        <f>"张梦珂"</f>
        <v>张梦珂</v>
      </c>
      <c r="E217" s="20" t="str">
        <f>"河南科技学院"</f>
        <v>河南科技学院</v>
      </c>
      <c r="F217" s="17"/>
    </row>
    <row r="218" s="1" customFormat="1" ht="27" customHeight="1" spans="1:6">
      <c r="A218" s="16">
        <v>216</v>
      </c>
      <c r="B218" s="17" t="str">
        <f>"4005"</f>
        <v>4005</v>
      </c>
      <c r="C218" s="18" t="s">
        <v>11</v>
      </c>
      <c r="D218" s="16" t="str">
        <f>"张泽勋"</f>
        <v>张泽勋</v>
      </c>
      <c r="E218" s="19" t="str">
        <f>"郑州科技学院"</f>
        <v>郑州科技学院</v>
      </c>
      <c r="F218" s="18"/>
    </row>
    <row r="219" s="1" customFormat="1" ht="27" customHeight="1" spans="1:6">
      <c r="A219" s="16">
        <v>217</v>
      </c>
      <c r="B219" s="17" t="str">
        <f>"4005"</f>
        <v>4005</v>
      </c>
      <c r="C219" s="18" t="s">
        <v>11</v>
      </c>
      <c r="D219" s="16" t="str">
        <f>"李峥"</f>
        <v>李峥</v>
      </c>
      <c r="E219" s="19" t="str">
        <f>"郑州航空工业管理学院"</f>
        <v>郑州航空工业管理学院</v>
      </c>
      <c r="F219" s="18"/>
    </row>
    <row r="220" s="1" customFormat="1" ht="27" customHeight="1" spans="1:6">
      <c r="A220" s="16">
        <v>218</v>
      </c>
      <c r="B220" s="17" t="str">
        <f>"5001"</f>
        <v>5001</v>
      </c>
      <c r="C220" s="18" t="s">
        <v>12</v>
      </c>
      <c r="D220" s="16" t="str">
        <f>"陈陆阳"</f>
        <v>陈陆阳</v>
      </c>
      <c r="E220" s="19" t="str">
        <f>"德州学院"</f>
        <v>德州学院</v>
      </c>
      <c r="F220" s="18"/>
    </row>
    <row r="221" s="1" customFormat="1" ht="27" customHeight="1" spans="1:6">
      <c r="A221" s="16">
        <v>219</v>
      </c>
      <c r="B221" s="17" t="str">
        <f>"5001"</f>
        <v>5001</v>
      </c>
      <c r="C221" s="18" t="s">
        <v>12</v>
      </c>
      <c r="D221" s="16" t="str">
        <f>"李忠洋"</f>
        <v>李忠洋</v>
      </c>
      <c r="E221" s="19" t="str">
        <f>"上饶师范学院"</f>
        <v>上饶师范学院</v>
      </c>
      <c r="F221" s="18"/>
    </row>
    <row r="222" s="1" customFormat="1" ht="27" customHeight="1" spans="1:6">
      <c r="A222" s="16">
        <v>220</v>
      </c>
      <c r="B222" s="17" t="str">
        <f t="shared" ref="B222:B228" si="32">"5001"</f>
        <v>5001</v>
      </c>
      <c r="C222" s="18" t="s">
        <v>12</v>
      </c>
      <c r="D222" s="16" t="str">
        <f>"李含妍"</f>
        <v>李含妍</v>
      </c>
      <c r="E222" s="19" t="str">
        <f>"河南师范大学新联学院"</f>
        <v>河南师范大学新联学院</v>
      </c>
      <c r="F222" s="18"/>
    </row>
    <row r="223" s="1" customFormat="1" ht="27" customHeight="1" spans="1:6">
      <c r="A223" s="16">
        <v>221</v>
      </c>
      <c r="B223" s="17" t="str">
        <f t="shared" si="32"/>
        <v>5001</v>
      </c>
      <c r="C223" s="18" t="s">
        <v>12</v>
      </c>
      <c r="D223" s="16" t="str">
        <f>"梁小仪"</f>
        <v>梁小仪</v>
      </c>
      <c r="E223" s="19" t="str">
        <f>"商丘学院"</f>
        <v>商丘学院</v>
      </c>
      <c r="F223" s="18"/>
    </row>
    <row r="224" s="1" customFormat="1" ht="27" customHeight="1" spans="1:6">
      <c r="A224" s="16">
        <v>222</v>
      </c>
      <c r="B224" s="17" t="str">
        <f t="shared" si="32"/>
        <v>5001</v>
      </c>
      <c r="C224" s="18" t="s">
        <v>12</v>
      </c>
      <c r="D224" s="16" t="str">
        <f>"陈怡静"</f>
        <v>陈怡静</v>
      </c>
      <c r="E224" s="19" t="str">
        <f>"平顶山学院"</f>
        <v>平顶山学院</v>
      </c>
      <c r="F224" s="18"/>
    </row>
    <row r="225" s="1" customFormat="1" ht="27" customHeight="1" spans="1:6">
      <c r="A225" s="16">
        <v>223</v>
      </c>
      <c r="B225" s="17" t="str">
        <f t="shared" si="32"/>
        <v>5001</v>
      </c>
      <c r="C225" s="18" t="s">
        <v>12</v>
      </c>
      <c r="D225" s="16" t="str">
        <f>"丁佳一"</f>
        <v>丁佳一</v>
      </c>
      <c r="E225" s="19" t="str">
        <f>"洛阳师范学院"</f>
        <v>洛阳师范学院</v>
      </c>
      <c r="F225" s="18"/>
    </row>
    <row r="226" s="1" customFormat="1" ht="27" customHeight="1" spans="1:6">
      <c r="A226" s="16">
        <v>224</v>
      </c>
      <c r="B226" s="17" t="str">
        <f t="shared" si="32"/>
        <v>5001</v>
      </c>
      <c r="C226" s="18" t="s">
        <v>12</v>
      </c>
      <c r="D226" s="16" t="str">
        <f>"刘明明"</f>
        <v>刘明明</v>
      </c>
      <c r="E226" s="19" t="str">
        <f>"黄河交通学院"</f>
        <v>黄河交通学院</v>
      </c>
      <c r="F226" s="18"/>
    </row>
    <row r="227" s="1" customFormat="1" ht="27" customHeight="1" spans="1:6">
      <c r="A227" s="16">
        <v>225</v>
      </c>
      <c r="B227" s="17" t="str">
        <f t="shared" si="32"/>
        <v>5001</v>
      </c>
      <c r="C227" s="18" t="s">
        <v>12</v>
      </c>
      <c r="D227" s="16" t="str">
        <f>"陈哲"</f>
        <v>陈哲</v>
      </c>
      <c r="E227" s="19" t="str">
        <f>"漯河职业技术学院"</f>
        <v>漯河职业技术学院</v>
      </c>
      <c r="F227" s="18"/>
    </row>
    <row r="228" s="2" customFormat="1" ht="27" customHeight="1" spans="1:6">
      <c r="A228" s="16">
        <v>226</v>
      </c>
      <c r="B228" s="17" t="str">
        <f t="shared" si="32"/>
        <v>5001</v>
      </c>
      <c r="C228" s="18" t="s">
        <v>12</v>
      </c>
      <c r="D228" s="17" t="str">
        <f>"吴征"</f>
        <v>吴征</v>
      </c>
      <c r="E228" s="20" t="str">
        <f>"黄淮学院"</f>
        <v>黄淮学院</v>
      </c>
      <c r="F228" s="21"/>
    </row>
    <row r="229" s="1" customFormat="1" ht="27" customHeight="1" spans="1:6">
      <c r="A229" s="16">
        <v>227</v>
      </c>
      <c r="B229" s="17" t="str">
        <f t="shared" ref="B229:B237" si="33">"5002"</f>
        <v>5002</v>
      </c>
      <c r="C229" s="18" t="s">
        <v>12</v>
      </c>
      <c r="D229" s="16" t="str">
        <f>"尹应坤"</f>
        <v>尹应坤</v>
      </c>
      <c r="E229" s="19" t="str">
        <f>"郑州成功财经学院"</f>
        <v>郑州成功财经学院</v>
      </c>
      <c r="F229" s="18"/>
    </row>
    <row r="230" s="1" customFormat="1" ht="27" customHeight="1" spans="1:6">
      <c r="A230" s="16">
        <v>228</v>
      </c>
      <c r="B230" s="17" t="str">
        <f t="shared" si="33"/>
        <v>5002</v>
      </c>
      <c r="C230" s="18" t="s">
        <v>12</v>
      </c>
      <c r="D230" s="16" t="str">
        <f>"韩梦梦"</f>
        <v>韩梦梦</v>
      </c>
      <c r="E230" s="19" t="str">
        <f>"河南师范大学新联学院"</f>
        <v>河南师范大学新联学院</v>
      </c>
      <c r="F230" s="18"/>
    </row>
    <row r="231" s="1" customFormat="1" ht="27" customHeight="1" spans="1:6">
      <c r="A231" s="16">
        <v>229</v>
      </c>
      <c r="B231" s="17" t="str">
        <f t="shared" si="33"/>
        <v>5002</v>
      </c>
      <c r="C231" s="18" t="s">
        <v>12</v>
      </c>
      <c r="D231" s="16" t="str">
        <f>"郭瑞"</f>
        <v>郭瑞</v>
      </c>
      <c r="E231" s="19" t="str">
        <f>"商丘学院"</f>
        <v>商丘学院</v>
      </c>
      <c r="F231" s="18"/>
    </row>
    <row r="232" s="1" customFormat="1" ht="27" customHeight="1" spans="1:6">
      <c r="A232" s="16">
        <v>230</v>
      </c>
      <c r="B232" s="17" t="str">
        <f t="shared" si="33"/>
        <v>5002</v>
      </c>
      <c r="C232" s="18" t="s">
        <v>12</v>
      </c>
      <c r="D232" s="16" t="str">
        <f>"刘佳"</f>
        <v>刘佳</v>
      </c>
      <c r="E232" s="19" t="s">
        <v>13</v>
      </c>
      <c r="F232" s="18"/>
    </row>
    <row r="233" s="1" customFormat="1" ht="27" customHeight="1" spans="1:6">
      <c r="A233" s="16">
        <v>231</v>
      </c>
      <c r="B233" s="17" t="str">
        <f t="shared" si="33"/>
        <v>5002</v>
      </c>
      <c r="C233" s="18" t="s">
        <v>12</v>
      </c>
      <c r="D233" s="16" t="str">
        <f>"王含蕊"</f>
        <v>王含蕊</v>
      </c>
      <c r="E233" s="19" t="str">
        <f>"郑州升达经贸管理学院"</f>
        <v>郑州升达经贸管理学院</v>
      </c>
      <c r="F233" s="18"/>
    </row>
    <row r="234" s="1" customFormat="1" ht="27" customHeight="1" spans="1:6">
      <c r="A234" s="16">
        <v>232</v>
      </c>
      <c r="B234" s="17" t="str">
        <f t="shared" si="33"/>
        <v>5002</v>
      </c>
      <c r="C234" s="18" t="s">
        <v>12</v>
      </c>
      <c r="D234" s="16" t="str">
        <f>"谢玉立"</f>
        <v>谢玉立</v>
      </c>
      <c r="E234" s="19" t="str">
        <f>"安阳工学院"</f>
        <v>安阳工学院</v>
      </c>
      <c r="F234" s="18"/>
    </row>
    <row r="235" s="1" customFormat="1" ht="27" customHeight="1" spans="1:6">
      <c r="A235" s="16">
        <v>233</v>
      </c>
      <c r="B235" s="17" t="str">
        <f t="shared" si="33"/>
        <v>5002</v>
      </c>
      <c r="C235" s="18" t="s">
        <v>12</v>
      </c>
      <c r="D235" s="16" t="str">
        <f>"白现娇"</f>
        <v>白现娇</v>
      </c>
      <c r="E235" s="19" t="str">
        <f>"郑州财经学院"</f>
        <v>郑州财经学院</v>
      </c>
      <c r="F235" s="18"/>
    </row>
    <row r="236" s="1" customFormat="1" ht="27" customHeight="1" spans="1:6">
      <c r="A236" s="16">
        <v>234</v>
      </c>
      <c r="B236" s="17" t="str">
        <f t="shared" si="33"/>
        <v>5002</v>
      </c>
      <c r="C236" s="18" t="s">
        <v>12</v>
      </c>
      <c r="D236" s="16" t="str">
        <f>"柴晓争"</f>
        <v>柴晓争</v>
      </c>
      <c r="E236" s="19" t="str">
        <f>"郑州工业应用技术学院"</f>
        <v>郑州工业应用技术学院</v>
      </c>
      <c r="F236" s="18"/>
    </row>
    <row r="237" s="1" customFormat="1" ht="27" customHeight="1" spans="1:6">
      <c r="A237" s="16">
        <v>235</v>
      </c>
      <c r="B237" s="17" t="str">
        <f t="shared" si="33"/>
        <v>5002</v>
      </c>
      <c r="C237" s="18" t="s">
        <v>12</v>
      </c>
      <c r="D237" s="16" t="str">
        <f>"关洪燕"</f>
        <v>关洪燕</v>
      </c>
      <c r="E237" s="19" t="str">
        <f>"商丘学院"</f>
        <v>商丘学院</v>
      </c>
      <c r="F237" s="18"/>
    </row>
    <row r="238" s="1" customFormat="1" ht="27" customHeight="1" spans="1:6">
      <c r="A238" s="16">
        <v>236</v>
      </c>
      <c r="B238" s="17" t="str">
        <f t="shared" ref="B238:B242" si="34">"5003"</f>
        <v>5003</v>
      </c>
      <c r="C238" s="18" t="s">
        <v>12</v>
      </c>
      <c r="D238" s="16" t="str">
        <f>"梁方"</f>
        <v>梁方</v>
      </c>
      <c r="E238" s="19" t="str">
        <f>"郑州幼儿师范高等专科学校"</f>
        <v>郑州幼儿师范高等专科学校</v>
      </c>
      <c r="F238" s="18"/>
    </row>
    <row r="239" s="1" customFormat="1" ht="27" customHeight="1" spans="1:6">
      <c r="A239" s="16">
        <v>237</v>
      </c>
      <c r="B239" s="17" t="str">
        <f t="shared" si="34"/>
        <v>5003</v>
      </c>
      <c r="C239" s="18" t="s">
        <v>12</v>
      </c>
      <c r="D239" s="16" t="str">
        <f>"赵天源"</f>
        <v>赵天源</v>
      </c>
      <c r="E239" s="19" t="str">
        <f>"吉林财经大学"</f>
        <v>吉林财经大学</v>
      </c>
      <c r="F239" s="18"/>
    </row>
    <row r="240" s="1" customFormat="1" ht="27" customHeight="1" spans="1:6">
      <c r="A240" s="16">
        <v>238</v>
      </c>
      <c r="B240" s="17" t="str">
        <f t="shared" si="34"/>
        <v>5003</v>
      </c>
      <c r="C240" s="18" t="s">
        <v>12</v>
      </c>
      <c r="D240" s="16" t="str">
        <f>"张海涵"</f>
        <v>张海涵</v>
      </c>
      <c r="E240" s="19" t="str">
        <f>"安阳师范学院"</f>
        <v>安阳师范学院</v>
      </c>
      <c r="F240" s="18"/>
    </row>
    <row r="241" s="1" customFormat="1" ht="27" customHeight="1" spans="1:6">
      <c r="A241" s="16">
        <v>239</v>
      </c>
      <c r="B241" s="17" t="str">
        <f t="shared" si="34"/>
        <v>5003</v>
      </c>
      <c r="C241" s="18" t="s">
        <v>12</v>
      </c>
      <c r="D241" s="16" t="str">
        <f>"贾梦柯"</f>
        <v>贾梦柯</v>
      </c>
      <c r="E241" s="19" t="str">
        <f>"黄河科技学院"</f>
        <v>黄河科技学院</v>
      </c>
      <c r="F241" s="18"/>
    </row>
    <row r="242" s="1" customFormat="1" ht="27" customHeight="1" spans="1:6">
      <c r="A242" s="16">
        <v>240</v>
      </c>
      <c r="B242" s="17" t="str">
        <f t="shared" si="34"/>
        <v>5003</v>
      </c>
      <c r="C242" s="18" t="s">
        <v>12</v>
      </c>
      <c r="D242" s="16" t="str">
        <f>"张贝贝"</f>
        <v>张贝贝</v>
      </c>
      <c r="E242" s="19" t="str">
        <f>"南阳师范学院"</f>
        <v>南阳师范学院</v>
      </c>
      <c r="F242" s="18"/>
    </row>
    <row r="243" s="1" customFormat="1" ht="27" customHeight="1" spans="1:6">
      <c r="A243" s="16">
        <v>241</v>
      </c>
      <c r="B243" s="17" t="str">
        <f t="shared" ref="B243:B245" si="35">"5004"</f>
        <v>5004</v>
      </c>
      <c r="C243" s="18" t="s">
        <v>12</v>
      </c>
      <c r="D243" s="16" t="str">
        <f>"李智"</f>
        <v>李智</v>
      </c>
      <c r="E243" s="19" t="str">
        <f>"空军工程大学"</f>
        <v>空军工程大学</v>
      </c>
      <c r="F243" s="18"/>
    </row>
    <row r="244" s="1" customFormat="1" ht="27" customHeight="1" spans="1:6">
      <c r="A244" s="16">
        <v>242</v>
      </c>
      <c r="B244" s="17" t="str">
        <f t="shared" si="35"/>
        <v>5004</v>
      </c>
      <c r="C244" s="18" t="s">
        <v>12</v>
      </c>
      <c r="D244" s="16" t="str">
        <f>"陈晴"</f>
        <v>陈晴</v>
      </c>
      <c r="E244" s="19" t="str">
        <f>"安康职业技术学院"</f>
        <v>安康职业技术学院</v>
      </c>
      <c r="F244" s="18"/>
    </row>
    <row r="245" s="1" customFormat="1" ht="27" customHeight="1" spans="1:6">
      <c r="A245" s="16">
        <v>243</v>
      </c>
      <c r="B245" s="17" t="str">
        <f t="shared" si="35"/>
        <v>5004</v>
      </c>
      <c r="C245" s="18" t="s">
        <v>12</v>
      </c>
      <c r="D245" s="16" t="str">
        <f>"苏如楠"</f>
        <v>苏如楠</v>
      </c>
      <c r="E245" s="19" t="str">
        <f>"三门峡职业技术学院"</f>
        <v>三门峡职业技术学院</v>
      </c>
      <c r="F245" s="18"/>
    </row>
    <row r="246" s="1" customFormat="1" ht="27" customHeight="1" spans="1:6">
      <c r="A246" s="16">
        <v>244</v>
      </c>
      <c r="B246" s="17" t="str">
        <f>"5005"</f>
        <v>5005</v>
      </c>
      <c r="C246" s="18" t="s">
        <v>12</v>
      </c>
      <c r="D246" s="16" t="str">
        <f>"金姿含"</f>
        <v>金姿含</v>
      </c>
      <c r="E246" s="19" t="str">
        <f>"南阳市师范学院"</f>
        <v>南阳市师范学院</v>
      </c>
      <c r="F246" s="18"/>
    </row>
    <row r="247" s="1" customFormat="1" ht="27" customHeight="1" spans="1:6">
      <c r="A247" s="16">
        <v>245</v>
      </c>
      <c r="B247" s="17" t="str">
        <f>"5005"</f>
        <v>5005</v>
      </c>
      <c r="C247" s="18" t="s">
        <v>12</v>
      </c>
      <c r="D247" s="16" t="str">
        <f>"林巧"</f>
        <v>林巧</v>
      </c>
      <c r="E247" s="19" t="str">
        <f>"漯河职业技术学院"</f>
        <v>漯河职业技术学院</v>
      </c>
      <c r="F247" s="18"/>
    </row>
    <row r="248" s="2" customFormat="1" ht="27" customHeight="1" spans="1:6">
      <c r="A248" s="16">
        <v>246</v>
      </c>
      <c r="B248" s="17" t="str">
        <f>"5005"</f>
        <v>5005</v>
      </c>
      <c r="C248" s="17" t="s">
        <v>12</v>
      </c>
      <c r="D248" s="16" t="str">
        <f>"闫奕冰"</f>
        <v>闫奕冰</v>
      </c>
      <c r="E248" s="20" t="str">
        <f>"商丘师范学院"</f>
        <v>商丘师范学院</v>
      </c>
      <c r="F248" s="17"/>
    </row>
    <row r="249" s="1" customFormat="1" ht="27" customHeight="1" spans="1:6">
      <c r="A249" s="16">
        <v>247</v>
      </c>
      <c r="B249" s="17" t="str">
        <f t="shared" ref="B249:B251" si="36">"5006"</f>
        <v>5006</v>
      </c>
      <c r="C249" s="18" t="s">
        <v>12</v>
      </c>
      <c r="D249" s="16" t="str">
        <f>"李雅博"</f>
        <v>李雅博</v>
      </c>
      <c r="E249" s="19" t="str">
        <f>"郑州升达经贸管理学院"</f>
        <v>郑州升达经贸管理学院</v>
      </c>
      <c r="F249" s="18"/>
    </row>
    <row r="250" s="1" customFormat="1" ht="27" customHeight="1" spans="1:6">
      <c r="A250" s="16">
        <v>248</v>
      </c>
      <c r="B250" s="17" t="str">
        <f t="shared" si="36"/>
        <v>5006</v>
      </c>
      <c r="C250" s="18" t="s">
        <v>12</v>
      </c>
      <c r="D250" s="16" t="str">
        <f>"孙梦"</f>
        <v>孙梦</v>
      </c>
      <c r="E250" s="19" t="str">
        <f>"黄河科技学院"</f>
        <v>黄河科技学院</v>
      </c>
      <c r="F250" s="18"/>
    </row>
    <row r="251" s="1" customFormat="1" ht="27" customHeight="1" spans="1:6">
      <c r="A251" s="16">
        <v>249</v>
      </c>
      <c r="B251" s="17" t="str">
        <f t="shared" si="36"/>
        <v>5006</v>
      </c>
      <c r="C251" s="18" t="s">
        <v>12</v>
      </c>
      <c r="D251" s="16" t="str">
        <f>"周嘉欣"</f>
        <v>周嘉欣</v>
      </c>
      <c r="E251" s="19" t="str">
        <f>"周口师范学院"</f>
        <v>周口师范学院</v>
      </c>
      <c r="F251" s="18"/>
    </row>
    <row r="252" s="1" customFormat="1" ht="27" customHeight="1" spans="1:6">
      <c r="A252" s="16">
        <v>250</v>
      </c>
      <c r="B252" s="17" t="str">
        <f t="shared" ref="B252:B255" si="37">"6001"</f>
        <v>6001</v>
      </c>
      <c r="C252" s="18" t="s">
        <v>14</v>
      </c>
      <c r="D252" s="16" t="str">
        <f>"张冬梅"</f>
        <v>张冬梅</v>
      </c>
      <c r="E252" s="19" t="str">
        <f>"南阳师范学院"</f>
        <v>南阳师范学院</v>
      </c>
      <c r="F252" s="18"/>
    </row>
    <row r="253" s="1" customFormat="1" ht="27" customHeight="1" spans="1:6">
      <c r="A253" s="16">
        <v>251</v>
      </c>
      <c r="B253" s="17" t="str">
        <f t="shared" si="37"/>
        <v>6001</v>
      </c>
      <c r="C253" s="18" t="s">
        <v>14</v>
      </c>
      <c r="D253" s="16" t="str">
        <f>"袁婷婷"</f>
        <v>袁婷婷</v>
      </c>
      <c r="E253" s="19" t="str">
        <f>"新乡学院"</f>
        <v>新乡学院</v>
      </c>
      <c r="F253" s="18"/>
    </row>
    <row r="254" s="1" customFormat="1" ht="27" customHeight="1" spans="1:6">
      <c r="A254" s="16">
        <v>252</v>
      </c>
      <c r="B254" s="17" t="str">
        <f t="shared" si="37"/>
        <v>6001</v>
      </c>
      <c r="C254" s="18" t="s">
        <v>14</v>
      </c>
      <c r="D254" s="16" t="str">
        <f>"李仲夏"</f>
        <v>李仲夏</v>
      </c>
      <c r="E254" s="19" t="str">
        <f>"焦作师范高等专科学校"</f>
        <v>焦作师范高等专科学校</v>
      </c>
      <c r="F254" s="18"/>
    </row>
    <row r="255" s="1" customFormat="1" ht="27" customHeight="1" spans="1:6">
      <c r="A255" s="16">
        <v>253</v>
      </c>
      <c r="B255" s="17" t="str">
        <f t="shared" si="37"/>
        <v>6001</v>
      </c>
      <c r="C255" s="18" t="s">
        <v>14</v>
      </c>
      <c r="D255" s="16" t="str">
        <f>"谢丰阳"</f>
        <v>谢丰阳</v>
      </c>
      <c r="E255" s="19" t="str">
        <f>"郑州师范学院"</f>
        <v>郑州师范学院</v>
      </c>
      <c r="F255" s="18"/>
    </row>
    <row r="256" s="1" customFormat="1" ht="27" customHeight="1" spans="1:6">
      <c r="A256" s="16">
        <v>254</v>
      </c>
      <c r="B256" s="17" t="str">
        <f>"6002"</f>
        <v>6002</v>
      </c>
      <c r="C256" s="18" t="s">
        <v>14</v>
      </c>
      <c r="D256" s="16" t="str">
        <f>"赵付九"</f>
        <v>赵付九</v>
      </c>
      <c r="E256" s="19" t="str">
        <f>"郑州师范高等专科学院"</f>
        <v>郑州师范高等专科学院</v>
      </c>
      <c r="F256" s="18"/>
    </row>
    <row r="257" s="1" customFormat="1" ht="27" customHeight="1" spans="1:6">
      <c r="A257" s="16">
        <v>255</v>
      </c>
      <c r="B257" s="17" t="str">
        <f>"6002"</f>
        <v>6002</v>
      </c>
      <c r="C257" s="18" t="s">
        <v>14</v>
      </c>
      <c r="D257" s="16" t="str">
        <f>"马超"</f>
        <v>马超</v>
      </c>
      <c r="E257" s="19" t="str">
        <f>"南阳市农业职业学院"</f>
        <v>南阳市农业职业学院</v>
      </c>
      <c r="F257" s="18"/>
    </row>
    <row r="258" s="1" customFormat="1" ht="27" customHeight="1" spans="1:6">
      <c r="A258" s="16">
        <v>256</v>
      </c>
      <c r="B258" s="17" t="str">
        <f>"6002"</f>
        <v>6002</v>
      </c>
      <c r="C258" s="18" t="s">
        <v>14</v>
      </c>
      <c r="D258" s="16" t="str">
        <f>"姜宛豫"</f>
        <v>姜宛豫</v>
      </c>
      <c r="E258" s="19" t="str">
        <f>"平顶山职业技术学院"</f>
        <v>平顶山职业技术学院</v>
      </c>
      <c r="F258" s="18"/>
    </row>
    <row r="259" s="2" customFormat="1" ht="27" customHeight="1" spans="1:6">
      <c r="A259" s="16">
        <v>257</v>
      </c>
      <c r="B259" s="16" t="str">
        <f>"6002"</f>
        <v>6002</v>
      </c>
      <c r="C259" s="17" t="s">
        <v>14</v>
      </c>
      <c r="D259" s="16" t="str">
        <f>"赵志远"</f>
        <v>赵志远</v>
      </c>
      <c r="E259" s="20" t="str">
        <f>"安阳师范学院"</f>
        <v>安阳师范学院</v>
      </c>
      <c r="F259" s="17"/>
    </row>
    <row r="260" s="1" customFormat="1" ht="27" customHeight="1" spans="1:6">
      <c r="A260" s="16">
        <v>258</v>
      </c>
      <c r="B260" s="17" t="str">
        <f>"6003"</f>
        <v>6003</v>
      </c>
      <c r="C260" s="18" t="s">
        <v>14</v>
      </c>
      <c r="D260" s="16" t="str">
        <f>"邢盼盼"</f>
        <v>邢盼盼</v>
      </c>
      <c r="E260" s="19" t="str">
        <f>"南阳理工学院"</f>
        <v>南阳理工学院</v>
      </c>
      <c r="F260" s="18"/>
    </row>
    <row r="261" s="1" customFormat="1" ht="27" customHeight="1" spans="1:6">
      <c r="A261" s="16">
        <v>259</v>
      </c>
      <c r="B261" s="17" t="str">
        <f>"6003"</f>
        <v>6003</v>
      </c>
      <c r="C261" s="18" t="s">
        <v>14</v>
      </c>
      <c r="D261" s="16" t="str">
        <f>"王双"</f>
        <v>王双</v>
      </c>
      <c r="E261" s="19" t="str">
        <f>"南阳师范学院"</f>
        <v>南阳师范学院</v>
      </c>
      <c r="F261" s="18"/>
    </row>
    <row r="262" s="1" customFormat="1" ht="27" customHeight="1" spans="1:6">
      <c r="A262" s="16">
        <v>260</v>
      </c>
      <c r="B262" s="17" t="str">
        <f>"6004"</f>
        <v>6004</v>
      </c>
      <c r="C262" s="18" t="s">
        <v>14</v>
      </c>
      <c r="D262" s="16" t="str">
        <f>"孙晓艳"</f>
        <v>孙晓艳</v>
      </c>
      <c r="E262" s="22" t="str">
        <f>"平顶山教育学院"</f>
        <v>平顶山教育学院</v>
      </c>
      <c r="F262" s="18"/>
    </row>
    <row r="263" s="1" customFormat="1" ht="27" customHeight="1" spans="1:6">
      <c r="A263" s="16">
        <v>261</v>
      </c>
      <c r="B263" s="17" t="str">
        <f>"6005"</f>
        <v>6005</v>
      </c>
      <c r="C263" s="18" t="s">
        <v>14</v>
      </c>
      <c r="D263" s="16" t="str">
        <f>"周爽"</f>
        <v>周爽</v>
      </c>
      <c r="E263" s="19" t="str">
        <f>"信阳师范学院华锐学院"</f>
        <v>信阳师范学院华锐学院</v>
      </c>
      <c r="F263" s="18"/>
    </row>
    <row r="264" s="1" customFormat="1" ht="27" customHeight="1" spans="1:6">
      <c r="A264" s="16">
        <v>262</v>
      </c>
      <c r="B264" s="17" t="str">
        <f>"6005"</f>
        <v>6005</v>
      </c>
      <c r="C264" s="18" t="s">
        <v>14</v>
      </c>
      <c r="D264" s="16" t="str">
        <f>"贾云"</f>
        <v>贾云</v>
      </c>
      <c r="E264" s="19" t="str">
        <f>"黄河科技学院"</f>
        <v>黄河科技学院</v>
      </c>
      <c r="F264" s="18"/>
    </row>
    <row r="265" s="1" customFormat="1" ht="27" customHeight="1" spans="1:6">
      <c r="A265" s="16">
        <v>263</v>
      </c>
      <c r="B265" s="17" t="str">
        <f>"6006"</f>
        <v>6006</v>
      </c>
      <c r="C265" s="18" t="s">
        <v>14</v>
      </c>
      <c r="D265" s="16" t="str">
        <f>"李恒"</f>
        <v>李恒</v>
      </c>
      <c r="E265" s="19" t="str">
        <f>"河南财政金融学院"</f>
        <v>河南财政金融学院</v>
      </c>
      <c r="F265" s="18"/>
    </row>
    <row r="266" s="1" customFormat="1" ht="27" customHeight="1" spans="1:6">
      <c r="A266" s="16">
        <v>264</v>
      </c>
      <c r="B266" s="17" t="str">
        <f>"6006"</f>
        <v>6006</v>
      </c>
      <c r="C266" s="18" t="s">
        <v>14</v>
      </c>
      <c r="D266" s="16" t="str">
        <f>"张茜"</f>
        <v>张茜</v>
      </c>
      <c r="E266" s="19" t="str">
        <f>"南阳师范学院"</f>
        <v>南阳师范学院</v>
      </c>
      <c r="F266" s="18"/>
    </row>
    <row r="267" s="1" customFormat="1" ht="27" customHeight="1" spans="1:6">
      <c r="A267" s="16">
        <v>265</v>
      </c>
      <c r="B267" s="17" t="str">
        <f t="shared" ref="B267:B269" si="38">"6007"</f>
        <v>6007</v>
      </c>
      <c r="C267" s="18" t="s">
        <v>14</v>
      </c>
      <c r="D267" s="16" t="str">
        <f>"苏明星"</f>
        <v>苏明星</v>
      </c>
      <c r="E267" s="19" t="str">
        <f>"南阳农业职业学院"</f>
        <v>南阳农业职业学院</v>
      </c>
      <c r="F267" s="18"/>
    </row>
    <row r="268" s="1" customFormat="1" ht="27" customHeight="1" spans="1:6">
      <c r="A268" s="16">
        <v>266</v>
      </c>
      <c r="B268" s="17" t="str">
        <f t="shared" si="38"/>
        <v>6007</v>
      </c>
      <c r="C268" s="18" t="s">
        <v>14</v>
      </c>
      <c r="D268" s="16" t="str">
        <f>"齐祯祺"</f>
        <v>齐祯祺</v>
      </c>
      <c r="E268" s="19" t="str">
        <f>"南阳师范学院"</f>
        <v>南阳师范学院</v>
      </c>
      <c r="F268" s="18"/>
    </row>
    <row r="269" s="1" customFormat="1" ht="27" customHeight="1" spans="1:6">
      <c r="A269" s="16">
        <v>267</v>
      </c>
      <c r="B269" s="17" t="str">
        <f t="shared" si="38"/>
        <v>6007</v>
      </c>
      <c r="C269" s="17" t="s">
        <v>14</v>
      </c>
      <c r="D269" s="16" t="str">
        <f>"宋裕玲"</f>
        <v>宋裕玲</v>
      </c>
      <c r="E269" s="20" t="str">
        <f>"南阳幼儿师范学校"</f>
        <v>南阳幼儿师范学校</v>
      </c>
      <c r="F269" s="17"/>
    </row>
    <row r="270" s="1" customFormat="1" ht="27" customHeight="1" spans="1:6">
      <c r="A270" s="16">
        <v>268</v>
      </c>
      <c r="B270" s="17" t="str">
        <f t="shared" ref="B270:B287" si="39">"7001"</f>
        <v>7001</v>
      </c>
      <c r="C270" s="18" t="s">
        <v>15</v>
      </c>
      <c r="D270" s="16" t="str">
        <f>"周婷"</f>
        <v>周婷</v>
      </c>
      <c r="E270" s="19" t="str">
        <f>"开封科技中等专业学校"</f>
        <v>开封科技中等专业学校</v>
      </c>
      <c r="F270" s="18"/>
    </row>
    <row r="271" s="1" customFormat="1" ht="27" customHeight="1" spans="1:6">
      <c r="A271" s="16">
        <v>269</v>
      </c>
      <c r="B271" s="17" t="str">
        <f t="shared" si="39"/>
        <v>7001</v>
      </c>
      <c r="C271" s="18" t="s">
        <v>15</v>
      </c>
      <c r="D271" s="16" t="str">
        <f>"梁红嫒"</f>
        <v>梁红嫒</v>
      </c>
      <c r="E271" s="19" t="str">
        <f>"苏州科技大学"</f>
        <v>苏州科技大学</v>
      </c>
      <c r="F271" s="18"/>
    </row>
    <row r="272" s="1" customFormat="1" ht="27" customHeight="1" spans="1:6">
      <c r="A272" s="16">
        <v>270</v>
      </c>
      <c r="B272" s="17" t="str">
        <f t="shared" si="39"/>
        <v>7001</v>
      </c>
      <c r="C272" s="18" t="s">
        <v>15</v>
      </c>
      <c r="D272" s="16" t="str">
        <f>"付佳璇"</f>
        <v>付佳璇</v>
      </c>
      <c r="E272" s="19" t="str">
        <f>"南阳师范学院"</f>
        <v>南阳师范学院</v>
      </c>
      <c r="F272" s="18"/>
    </row>
    <row r="273" s="1" customFormat="1" ht="27" customHeight="1" spans="1:6">
      <c r="A273" s="16">
        <v>271</v>
      </c>
      <c r="B273" s="17" t="str">
        <f t="shared" si="39"/>
        <v>7001</v>
      </c>
      <c r="C273" s="18" t="s">
        <v>15</v>
      </c>
      <c r="D273" s="16" t="str">
        <f>"于红阳"</f>
        <v>于红阳</v>
      </c>
      <c r="E273" s="19" t="str">
        <f>"河南省经济管理学校"</f>
        <v>河南省经济管理学校</v>
      </c>
      <c r="F273" s="18"/>
    </row>
    <row r="274" s="1" customFormat="1" ht="27" customHeight="1" spans="1:6">
      <c r="A274" s="16">
        <v>272</v>
      </c>
      <c r="B274" s="17" t="str">
        <f t="shared" si="39"/>
        <v>7001</v>
      </c>
      <c r="C274" s="18" t="s">
        <v>15</v>
      </c>
      <c r="D274" s="16" t="str">
        <f>"闫迪"</f>
        <v>闫迪</v>
      </c>
      <c r="E274" s="19" t="str">
        <f>"郑州科技学院"</f>
        <v>郑州科技学院</v>
      </c>
      <c r="F274" s="18"/>
    </row>
    <row r="275" s="1" customFormat="1" ht="27" customHeight="1" spans="1:6">
      <c r="A275" s="16">
        <v>273</v>
      </c>
      <c r="B275" s="17" t="str">
        <f t="shared" si="39"/>
        <v>7001</v>
      </c>
      <c r="C275" s="18" t="s">
        <v>15</v>
      </c>
      <c r="D275" s="16" t="str">
        <f>"王钰淼"</f>
        <v>王钰淼</v>
      </c>
      <c r="E275" s="19" t="str">
        <f>"河南省经济管理学校"</f>
        <v>河南省经济管理学校</v>
      </c>
      <c r="F275" s="18"/>
    </row>
    <row r="276" s="1" customFormat="1" ht="27" customHeight="1" spans="1:6">
      <c r="A276" s="16">
        <v>274</v>
      </c>
      <c r="B276" s="17" t="str">
        <f t="shared" si="39"/>
        <v>7001</v>
      </c>
      <c r="C276" s="18" t="s">
        <v>15</v>
      </c>
      <c r="D276" s="16" t="str">
        <f>"叶素君"</f>
        <v>叶素君</v>
      </c>
      <c r="E276" s="19" t="str">
        <f>"信阳学院"</f>
        <v>信阳学院</v>
      </c>
      <c r="F276" s="18"/>
    </row>
    <row r="277" s="1" customFormat="1" ht="27" customHeight="1" spans="1:6">
      <c r="A277" s="16">
        <v>275</v>
      </c>
      <c r="B277" s="17" t="str">
        <f t="shared" si="39"/>
        <v>7001</v>
      </c>
      <c r="C277" s="18" t="s">
        <v>15</v>
      </c>
      <c r="D277" s="16" t="str">
        <f>"李海燕"</f>
        <v>李海燕</v>
      </c>
      <c r="E277" s="19" t="str">
        <f>"南阳师范学院"</f>
        <v>南阳师范学院</v>
      </c>
      <c r="F277" s="18"/>
    </row>
    <row r="278" s="1" customFormat="1" ht="27" customHeight="1" spans="1:6">
      <c r="A278" s="16">
        <v>276</v>
      </c>
      <c r="B278" s="17" t="str">
        <f t="shared" si="39"/>
        <v>7001</v>
      </c>
      <c r="C278" s="18" t="s">
        <v>15</v>
      </c>
      <c r="D278" s="16" t="str">
        <f>"王滨"</f>
        <v>王滨</v>
      </c>
      <c r="E278" s="19" t="str">
        <f>"南阳幼儿师范学校"</f>
        <v>南阳幼儿师范学校</v>
      </c>
      <c r="F278" s="18"/>
    </row>
    <row r="279" s="1" customFormat="1" ht="27" customHeight="1" spans="1:6">
      <c r="A279" s="16">
        <v>277</v>
      </c>
      <c r="B279" s="17" t="str">
        <f t="shared" si="39"/>
        <v>7001</v>
      </c>
      <c r="C279" s="18" t="s">
        <v>15</v>
      </c>
      <c r="D279" s="16" t="str">
        <f>"田丽媛"</f>
        <v>田丽媛</v>
      </c>
      <c r="E279" s="19" t="str">
        <f>"平顶山学院"</f>
        <v>平顶山学院</v>
      </c>
      <c r="F279" s="18"/>
    </row>
    <row r="280" s="1" customFormat="1" ht="27" customHeight="1" spans="1:6">
      <c r="A280" s="16">
        <v>278</v>
      </c>
      <c r="B280" s="17" t="str">
        <f t="shared" si="39"/>
        <v>7001</v>
      </c>
      <c r="C280" s="18" t="s">
        <v>15</v>
      </c>
      <c r="D280" s="16" t="str">
        <f>"慕杨柳"</f>
        <v>慕杨柳</v>
      </c>
      <c r="E280" s="19" t="str">
        <f>"郑州幼儿师范高等专科学校"</f>
        <v>郑州幼儿师范高等专科学校</v>
      </c>
      <c r="F280" s="18"/>
    </row>
    <row r="281" s="1" customFormat="1" ht="27" customHeight="1" spans="1:6">
      <c r="A281" s="16">
        <v>279</v>
      </c>
      <c r="B281" s="17" t="str">
        <f t="shared" si="39"/>
        <v>7001</v>
      </c>
      <c r="C281" s="18" t="s">
        <v>15</v>
      </c>
      <c r="D281" s="16" t="str">
        <f>"王梓羽"</f>
        <v>王梓羽</v>
      </c>
      <c r="E281" s="19" t="str">
        <f>"南阳幼儿师范学校"</f>
        <v>南阳幼儿师范学校</v>
      </c>
      <c r="F281" s="18"/>
    </row>
    <row r="282" s="1" customFormat="1" ht="27" customHeight="1" spans="1:6">
      <c r="A282" s="16">
        <v>280</v>
      </c>
      <c r="B282" s="17" t="str">
        <f t="shared" si="39"/>
        <v>7001</v>
      </c>
      <c r="C282" s="18" t="s">
        <v>15</v>
      </c>
      <c r="D282" s="16" t="str">
        <f>"范文静"</f>
        <v>范文静</v>
      </c>
      <c r="E282" s="19" t="str">
        <f>"河南大学"</f>
        <v>河南大学</v>
      </c>
      <c r="F282" s="18"/>
    </row>
    <row r="283" s="1" customFormat="1" ht="27" customHeight="1" spans="1:6">
      <c r="A283" s="16">
        <v>281</v>
      </c>
      <c r="B283" s="17" t="str">
        <f t="shared" si="39"/>
        <v>7001</v>
      </c>
      <c r="C283" s="18" t="s">
        <v>15</v>
      </c>
      <c r="D283" s="16" t="str">
        <f>"党荷婷"</f>
        <v>党荷婷</v>
      </c>
      <c r="E283" s="19" t="str">
        <f>"濮阳职业技术学院"</f>
        <v>濮阳职业技术学院</v>
      </c>
      <c r="F283" s="18"/>
    </row>
    <row r="284" s="1" customFormat="1" ht="27" customHeight="1" spans="1:6">
      <c r="A284" s="16">
        <v>282</v>
      </c>
      <c r="B284" s="17" t="str">
        <f t="shared" si="39"/>
        <v>7001</v>
      </c>
      <c r="C284" s="18" t="s">
        <v>15</v>
      </c>
      <c r="D284" s="16" t="str">
        <f>"贾莹"</f>
        <v>贾莹</v>
      </c>
      <c r="E284" s="19" t="str">
        <f>"南阳市宛东中等专业学校"</f>
        <v>南阳市宛东中等专业学校</v>
      </c>
      <c r="F284" s="18"/>
    </row>
    <row r="285" s="1" customFormat="1" ht="27" customHeight="1" spans="1:6">
      <c r="A285" s="16">
        <v>283</v>
      </c>
      <c r="B285" s="17" t="str">
        <f t="shared" si="39"/>
        <v>7001</v>
      </c>
      <c r="C285" s="18" t="s">
        <v>15</v>
      </c>
      <c r="D285" s="16" t="str">
        <f>"张悦颖"</f>
        <v>张悦颖</v>
      </c>
      <c r="E285" s="19" t="str">
        <f>"南阳师范学院"</f>
        <v>南阳师范学院</v>
      </c>
      <c r="F285" s="18"/>
    </row>
    <row r="286" s="1" customFormat="1" ht="27" customHeight="1" spans="1:6">
      <c r="A286" s="16">
        <v>284</v>
      </c>
      <c r="B286" s="17" t="str">
        <f t="shared" si="39"/>
        <v>7001</v>
      </c>
      <c r="C286" s="18" t="s">
        <v>15</v>
      </c>
      <c r="D286" s="16" t="str">
        <f>"韩金池"</f>
        <v>韩金池</v>
      </c>
      <c r="E286" s="19" t="str">
        <f>"郑州幼儿师范高等专科学校"</f>
        <v>郑州幼儿师范高等专科学校</v>
      </c>
      <c r="F286" s="18"/>
    </row>
    <row r="287" s="1" customFormat="1" ht="27" customHeight="1" spans="1:6">
      <c r="A287" s="16">
        <v>285</v>
      </c>
      <c r="B287" s="17" t="str">
        <f t="shared" si="39"/>
        <v>7001</v>
      </c>
      <c r="C287" s="18" t="s">
        <v>15</v>
      </c>
      <c r="D287" s="16" t="str">
        <f>"赵朴"</f>
        <v>赵朴</v>
      </c>
      <c r="E287" s="19" t="str">
        <f>"平顶山学院"</f>
        <v>平顶山学院</v>
      </c>
      <c r="F287" s="18"/>
    </row>
    <row r="288" s="1" customFormat="1" ht="27" customHeight="1" spans="1:6">
      <c r="A288" s="16">
        <v>286</v>
      </c>
      <c r="B288" s="17" t="str">
        <f t="shared" ref="B288:B298" si="40">"7001"</f>
        <v>7001</v>
      </c>
      <c r="C288" s="18" t="s">
        <v>15</v>
      </c>
      <c r="D288" s="16" t="str">
        <f>"刘洋"</f>
        <v>刘洋</v>
      </c>
      <c r="E288" s="19" t="str">
        <f>"郑州商学院"</f>
        <v>郑州商学院</v>
      </c>
      <c r="F288" s="18"/>
    </row>
    <row r="289" s="1" customFormat="1" ht="27" customHeight="1" spans="1:6">
      <c r="A289" s="16">
        <v>287</v>
      </c>
      <c r="B289" s="17" t="str">
        <f t="shared" si="40"/>
        <v>7001</v>
      </c>
      <c r="C289" s="18" t="s">
        <v>15</v>
      </c>
      <c r="D289" s="16" t="str">
        <f>"刘晗"</f>
        <v>刘晗</v>
      </c>
      <c r="E289" s="19" t="str">
        <f>"河南省广播电视中等专业学校"</f>
        <v>河南省广播电视中等专业学校</v>
      </c>
      <c r="F289" s="18"/>
    </row>
    <row r="290" s="1" customFormat="1" ht="27" customHeight="1" spans="1:6">
      <c r="A290" s="16">
        <v>288</v>
      </c>
      <c r="B290" s="17" t="str">
        <f t="shared" si="40"/>
        <v>7001</v>
      </c>
      <c r="C290" s="18" t="s">
        <v>15</v>
      </c>
      <c r="D290" s="16" t="str">
        <f>"张丽萍"</f>
        <v>张丽萍</v>
      </c>
      <c r="E290" s="19" t="str">
        <f>"南阳幼儿师范学校"</f>
        <v>南阳幼儿师范学校</v>
      </c>
      <c r="F290" s="18"/>
    </row>
    <row r="291" s="1" customFormat="1" ht="27" customHeight="1" spans="1:6">
      <c r="A291" s="16">
        <v>289</v>
      </c>
      <c r="B291" s="17" t="str">
        <f t="shared" si="40"/>
        <v>7001</v>
      </c>
      <c r="C291" s="18" t="s">
        <v>15</v>
      </c>
      <c r="D291" s="16" t="str">
        <f>"冯宇"</f>
        <v>冯宇</v>
      </c>
      <c r="E291" s="19" t="str">
        <f>"南阳幼儿师范学校"</f>
        <v>南阳幼儿师范学校</v>
      </c>
      <c r="F291" s="18"/>
    </row>
    <row r="292" s="1" customFormat="1" ht="27" customHeight="1" spans="1:6">
      <c r="A292" s="16">
        <v>290</v>
      </c>
      <c r="B292" s="17" t="str">
        <f t="shared" si="40"/>
        <v>7001</v>
      </c>
      <c r="C292" s="18" t="s">
        <v>15</v>
      </c>
      <c r="D292" s="16" t="str">
        <f>"乔丹"</f>
        <v>乔丹</v>
      </c>
      <c r="E292" s="19" t="str">
        <f>"商丘师范学院"</f>
        <v>商丘师范学院</v>
      </c>
      <c r="F292" s="18"/>
    </row>
    <row r="293" s="1" customFormat="1" ht="27" customHeight="1" spans="1:6">
      <c r="A293" s="16">
        <v>291</v>
      </c>
      <c r="B293" s="17" t="str">
        <f t="shared" si="40"/>
        <v>7001</v>
      </c>
      <c r="C293" s="18" t="s">
        <v>15</v>
      </c>
      <c r="D293" s="16" t="str">
        <f>"季冬雪"</f>
        <v>季冬雪</v>
      </c>
      <c r="E293" s="19" t="str">
        <f>"南阳幼儿师范学校"</f>
        <v>南阳幼儿师范学校</v>
      </c>
      <c r="F293" s="18"/>
    </row>
    <row r="294" s="1" customFormat="1" ht="27" customHeight="1" spans="1:6">
      <c r="A294" s="16">
        <v>292</v>
      </c>
      <c r="B294" s="17" t="str">
        <f t="shared" si="40"/>
        <v>7001</v>
      </c>
      <c r="C294" s="18" t="s">
        <v>15</v>
      </c>
      <c r="D294" s="16" t="str">
        <f>"崔贺云"</f>
        <v>崔贺云</v>
      </c>
      <c r="E294" s="19" t="str">
        <f>"河南省汝南幼儿师范学校"</f>
        <v>河南省汝南幼儿师范学校</v>
      </c>
      <c r="F294" s="18"/>
    </row>
    <row r="295" s="1" customFormat="1" ht="27" customHeight="1" spans="1:6">
      <c r="A295" s="16">
        <v>293</v>
      </c>
      <c r="B295" s="17" t="str">
        <f t="shared" si="40"/>
        <v>7001</v>
      </c>
      <c r="C295" s="18" t="s">
        <v>15</v>
      </c>
      <c r="D295" s="16" t="str">
        <f>"魏雅欣"</f>
        <v>魏雅欣</v>
      </c>
      <c r="E295" s="19" t="str">
        <f>"湖南女子学院"</f>
        <v>湖南女子学院</v>
      </c>
      <c r="F295" s="18"/>
    </row>
    <row r="296" s="1" customFormat="1" ht="27" customHeight="1" spans="1:6">
      <c r="A296" s="16">
        <v>294</v>
      </c>
      <c r="B296" s="17" t="str">
        <f t="shared" si="40"/>
        <v>7001</v>
      </c>
      <c r="C296" s="18" t="s">
        <v>15</v>
      </c>
      <c r="D296" s="16" t="str">
        <f>"乔云竹"</f>
        <v>乔云竹</v>
      </c>
      <c r="E296" s="19" t="str">
        <f>" 河南财政金融学院 "</f>
        <v> 河南财政金融学院 </v>
      </c>
      <c r="F296" s="18"/>
    </row>
    <row r="297" s="1" customFormat="1" ht="27" customHeight="1" spans="1:6">
      <c r="A297" s="16">
        <v>295</v>
      </c>
      <c r="B297" s="17" t="str">
        <f t="shared" si="40"/>
        <v>7001</v>
      </c>
      <c r="C297" s="18" t="s">
        <v>15</v>
      </c>
      <c r="D297" s="16" t="str">
        <f>"梁莹"</f>
        <v>梁莹</v>
      </c>
      <c r="E297" s="19" t="str">
        <f>"南阳幼儿师范学院"</f>
        <v>南阳幼儿师范学院</v>
      </c>
      <c r="F297" s="18"/>
    </row>
    <row r="298" s="2" customFormat="1" ht="27" customHeight="1" spans="1:6">
      <c r="A298" s="16">
        <v>296</v>
      </c>
      <c r="B298" s="17" t="str">
        <f t="shared" si="40"/>
        <v>7001</v>
      </c>
      <c r="C298" s="18" t="s">
        <v>15</v>
      </c>
      <c r="D298" s="17" t="str">
        <f>"陈婷婷"</f>
        <v>陈婷婷</v>
      </c>
      <c r="E298" s="20" t="str">
        <f>"河南财政金融学院"</f>
        <v>河南财政金融学院</v>
      </c>
      <c r="F298" s="17"/>
    </row>
  </sheetData>
  <mergeCells count="1">
    <mergeCell ref="A1:F1"/>
  </mergeCells>
  <conditionalFormatting sqref="D228">
    <cfRule type="duplicateValues" dxfId="0" priority="2"/>
  </conditionalFormatting>
  <conditionalFormatting sqref="D298">
    <cfRule type="duplicateValues" dxfId="0" priority="1"/>
  </conditionalFormatting>
  <pageMargins left="0.786805555555556" right="0.629861111111111" top="0.629861111111111" bottom="0.590277777777778" header="0.511805555555556" footer="0.302777777777778"/>
  <pageSetup paperSize="9" scale="8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OS003</dc:creator>
  <cp:lastModifiedBy>lenovo</cp:lastModifiedBy>
  <dcterms:created xsi:type="dcterms:W3CDTF">2023-08-13T02:29:00Z</dcterms:created>
  <dcterms:modified xsi:type="dcterms:W3CDTF">2023-08-29T08:53:07Z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A8015A85BAAC4B81BC5CB9E2A4709405_13</vt:lpwstr>
  </property>
  <property fmtid="{D5CDD505-2E9C-101B-9397-08002B2CF9AE}" pid="3" name="KSOProductBuildVer">
    <vt:lpwstr>2052-12.1.0.15358</vt:lpwstr>
  </property>
</Properties>
</file>